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50" windowHeight="7290" tabRatio="599" activeTab="3"/>
  </bookViews>
  <sheets>
    <sheet name="Телевизионная 2а" sheetId="1" r:id="rId1"/>
    <sheet name="Пионерская 16" sheetId="2" r:id="rId2"/>
    <sheet name=" Пионерская 1318 кв.1-50" sheetId="3" r:id="rId3"/>
    <sheet name=" Пионерская 1318 кв.51-64" sheetId="4" r:id="rId4"/>
    <sheet name="Багговута 12" sheetId="5" r:id="rId5"/>
    <sheet name="Пионерская 15" sheetId="6" r:id="rId6"/>
    <sheet name="Социалистическая 3" sheetId="7" r:id="rId7"/>
    <sheet name="Социалистическая 4" sheetId="8" r:id="rId8"/>
    <sheet name="Социалистическая 6 к.1" sheetId="9" r:id="rId9"/>
    <sheet name="Социалистическая 6" sheetId="10" r:id="rId10"/>
    <sheet name="Социалистическая 9" sheetId="11" r:id="rId11"/>
    <sheet name="Социалистическая 12" sheetId="12" r:id="rId12"/>
    <sheet name="Телевизионная 2" sheetId="13" r:id="rId13"/>
    <sheet name="Телевизионная 4" sheetId="14" r:id="rId14"/>
    <sheet name="Чичерина 7а" sheetId="15" r:id="rId15"/>
    <sheet name="Чичерина 8" sheetId="16" r:id="rId16"/>
    <sheet name="Чичерина 16 к. 1" sheetId="17" r:id="rId17"/>
    <sheet name="пер.Чичерина 24" sheetId="18" r:id="rId18"/>
    <sheet name="пер. Чичерина 28" sheetId="19" r:id="rId19"/>
    <sheet name="Калинина 12" sheetId="20" r:id="rId20"/>
    <sheet name="Калинина 18" sheetId="21" r:id="rId21"/>
    <sheet name="Калинина 23" sheetId="22" r:id="rId22"/>
    <sheet name="Пионерская 9" sheetId="23" r:id="rId23"/>
    <sheet name="Высокая 4" sheetId="24" r:id="rId24"/>
    <sheet name="Пухова 15" sheetId="25" r:id="rId25"/>
    <sheet name="Пухова 17" sheetId="26" r:id="rId26"/>
    <sheet name="Калинина 4" sheetId="27" r:id="rId27"/>
    <sheet name="Тельмана 10" sheetId="28" r:id="rId28"/>
    <sheet name="Пионерская 18" sheetId="29" r:id="rId29"/>
    <sheet name="Чичерина 12 к.1" sheetId="30" r:id="rId30"/>
    <sheet name="Телевизионная 6 к.1" sheetId="31" r:id="rId31"/>
    <sheet name="Пионерская 2" sheetId="32" r:id="rId32"/>
    <sheet name="Телевизионная 2 к.1" sheetId="33" r:id="rId33"/>
    <sheet name="Чичерина 16" sheetId="34" r:id="rId34"/>
    <sheet name="Чичерина 19" sheetId="35" r:id="rId35"/>
    <sheet name="Чичерина 22" sheetId="36" r:id="rId36"/>
    <sheet name="Лист1" sheetId="37" state="hidden" r:id="rId37"/>
    <sheet name="Лист2" sheetId="38" state="hidden" r:id="rId38"/>
    <sheet name="Ленина 68,8" sheetId="39" r:id="rId39"/>
    <sheet name="Ленина 67" sheetId="40" r:id="rId40"/>
    <sheet name="Огарева 20" sheetId="41" r:id="rId41"/>
    <sheet name="Пролетарская 40" sheetId="42" r:id="rId42"/>
    <sheet name="Чижевского 4" sheetId="43" r:id="rId43"/>
    <sheet name="Билибина 10" sheetId="44" r:id="rId44"/>
    <sheet name="Ленина 61.5" sheetId="45" r:id="rId45"/>
    <sheet name="Билибина 26" sheetId="46" r:id="rId46"/>
    <sheet name="Московская 167" sheetId="47" r:id="rId47"/>
    <sheet name="Билибина 28" sheetId="48" r:id="rId48"/>
    <sheet name="Общее" sheetId="49" state="hidden" r:id="rId49"/>
    <sheet name="Пролетарская 135" sheetId="50" r:id="rId50"/>
    <sheet name="Молодежная 41" sheetId="51" r:id="rId51"/>
    <sheet name="Солнечный б-р 2 общий" sheetId="52" r:id="rId52"/>
    <sheet name="Солнечный б-р 4" sheetId="53" r:id="rId53"/>
    <sheet name="Солнечный б-р 4-1" sheetId="54" r:id="rId54"/>
    <sheet name="Солнечный б-р 4-2" sheetId="55" r:id="rId55"/>
    <sheet name="Аллейная 2" sheetId="56" r:id="rId56"/>
    <sheet name="Телевизионная 10" sheetId="57" r:id="rId57"/>
    <sheet name="Дубрава 1" sheetId="58" r:id="rId58"/>
    <sheet name="Дубрава 1а" sheetId="59" r:id="rId59"/>
    <sheet name="Дубрава 2" sheetId="60" r:id="rId60"/>
    <sheet name="Дубрава 3" sheetId="61" r:id="rId61"/>
    <sheet name="Дубрава 4" sheetId="62" r:id="rId62"/>
    <sheet name="Дубрава 5" sheetId="63" r:id="rId63"/>
    <sheet name="Дубрава 6" sheetId="64" r:id="rId64"/>
    <sheet name="Дубрава 7" sheetId="65" r:id="rId65"/>
    <sheet name="Дубрава 9" sheetId="66" r:id="rId66"/>
    <sheet name="Дубрава10" sheetId="67" r:id="rId67"/>
    <sheet name="Дубрава 11" sheetId="68" r:id="rId68"/>
    <sheet name="Нефтебаза 1" sheetId="69" r:id="rId69"/>
    <sheet name="Нефтебаза 2" sheetId="70" r:id="rId70"/>
    <sheet name="Нефтебаза 3" sheetId="71" r:id="rId71"/>
    <sheet name="Нефтебаза 4" sheetId="72" r:id="rId72"/>
    <sheet name="Нефтебаза 5" sheetId="73" r:id="rId73"/>
    <sheet name="Нефтебаза 6" sheetId="74" r:id="rId74"/>
    <sheet name="Аэропортовская 14" sheetId="75" r:id="rId75"/>
    <sheet name="Дорожная 11 корп1" sheetId="76" r:id="rId76"/>
    <sheet name="Дорожная 11 корп2" sheetId="77" r:id="rId77"/>
    <sheet name="Моторная 30А" sheetId="78" r:id="rId78"/>
    <sheet name="Грабцевское шоссе 160" sheetId="79" r:id="rId79"/>
    <sheet name="Аэропортовская 9" sheetId="80" r:id="rId80"/>
    <sheet name="Хрустальная 52" sheetId="81" r:id="rId81"/>
    <sheet name="Хрустальная 56" sheetId="82" r:id="rId82"/>
    <sheet name="Хрустальная 62" sheetId="83" r:id="rId83"/>
    <sheet name="Хрустальная 66" sheetId="84" r:id="rId84"/>
    <sheet name="Хрустальная 70" sheetId="85" r:id="rId85"/>
    <sheet name="Хрустальная 74" sheetId="86" r:id="rId86"/>
    <sheet name="Молодежная 46" sheetId="87" r:id="rId87"/>
    <sheet name="Молодежная 48" sheetId="88" r:id="rId88"/>
    <sheet name="Солнечный бульвар 20" sheetId="89" r:id="rId89"/>
    <sheet name="Грабцевское шоссе 132 корп.1" sheetId="90" r:id="rId90"/>
    <sheet name="Гагарина 9" sheetId="91" r:id="rId91"/>
    <sheet name="Добровольского 14" sheetId="92" r:id="rId92"/>
    <sheet name="Чижевского 12" sheetId="93" r:id="rId93"/>
    <sheet name="Чижевского 23" sheetId="94" r:id="rId94"/>
    <sheet name="Болотникова 16" sheetId="95" r:id="rId95"/>
    <sheet name="Плеханова 2 к.2" sheetId="96" r:id="rId96"/>
    <sheet name="65 лет Победы 29" sheetId="97" r:id="rId97"/>
    <sheet name="Суворова 153 к.5" sheetId="98" r:id="rId98"/>
    <sheet name="А.Королева 29 гаражи" sheetId="99" r:id="rId99"/>
    <sheet name="Кооперативная1дробь2" sheetId="100" r:id="rId100"/>
    <sheet name="Парижской Коммуны,1а" sheetId="101" r:id="rId101"/>
    <sheet name="А.Королева 29" sheetId="102" r:id="rId102"/>
    <sheet name="Калинина 15" sheetId="103" r:id="rId103"/>
    <sheet name="Грабцевское шоссе,77" sheetId="104" r:id="rId104"/>
    <sheet name="Грабцевское шоссе,78" sheetId="105" r:id="rId105"/>
  </sheets>
  <externalReferences>
    <externalReference r:id="rId108"/>
    <externalReference r:id="rId109"/>
    <externalReference r:id="rId110"/>
  </externalReferences>
  <definedNames>
    <definedName name="_xlnm.Print_Area" localSheetId="2">' Пионерская 1318 кв.1-50'!$A$1:$K$51</definedName>
    <definedName name="_xlnm.Print_Area" localSheetId="3">' Пионерская 1318 кв.51-64'!$A$1:$K$49</definedName>
    <definedName name="_xlnm.Print_Area" localSheetId="4">'Багговута 12'!$A$1:$K$57</definedName>
    <definedName name="_xlnm.Print_Area" localSheetId="50">'Молодежная 41'!$A$1:$K$65</definedName>
    <definedName name="_xlnm.Print_Area" localSheetId="17">'пер.Чичерина 24'!$A$1:$H$57</definedName>
    <definedName name="_xlnm.Print_Area" localSheetId="1">'Пионерская 16'!$A$1:$K$52</definedName>
    <definedName name="_xlnm.Print_Area" localSheetId="0">'Телевизионная 2а'!$A$1:$K$58</definedName>
  </definedNames>
  <calcPr fullCalcOnLoad="1" refMode="R1C1"/>
</workbook>
</file>

<file path=xl/sharedStrings.xml><?xml version="1.0" encoding="utf-8"?>
<sst xmlns="http://schemas.openxmlformats.org/spreadsheetml/2006/main" count="9336" uniqueCount="853">
  <si>
    <t>ОТЧЕТ УПРАВЛЯЮЩЕЙ ОРГАНИЗАЦИИ</t>
  </si>
  <si>
    <t>1. Общие сведения о многоквартирном доме</t>
  </si>
  <si>
    <t>Адрес многоквартирного дома:</t>
  </si>
  <si>
    <t>Общая площадь многоквартирного дома:</t>
  </si>
  <si>
    <t xml:space="preserve"> в том числе:</t>
  </si>
  <si>
    <t>а) жилых помещений (общая площадь квартир):</t>
  </si>
  <si>
    <t xml:space="preserve">                                        </t>
  </si>
  <si>
    <t>б) нежилых помещений :</t>
  </si>
  <si>
    <t xml:space="preserve">2. Отчет по затратам на содержание, ремонт </t>
  </si>
  <si>
    <t>общего имущества в многоквартирном доме и коммунальные услуги</t>
  </si>
  <si>
    <t>за отчетный период</t>
  </si>
  <si>
    <t>№ п/п</t>
  </si>
  <si>
    <t>Наименование</t>
  </si>
  <si>
    <t>Остаток средств на 01.01.2011 г., руб.</t>
  </si>
  <si>
    <t>1.</t>
  </si>
  <si>
    <t>Содержание общего имущества , в том числе:</t>
  </si>
  <si>
    <t>1.1.</t>
  </si>
  <si>
    <t>Управление многоквартирным домом</t>
  </si>
  <si>
    <t>1.2.</t>
  </si>
  <si>
    <t>Содержание конструктивных элементов</t>
  </si>
  <si>
    <t>1.3.</t>
  </si>
  <si>
    <t>Содержание инженерных сетей</t>
  </si>
  <si>
    <t>1.4.</t>
  </si>
  <si>
    <t>Содержание придомовой территории</t>
  </si>
  <si>
    <t>1.5.</t>
  </si>
  <si>
    <t>2.</t>
  </si>
  <si>
    <t>Содержание лифтов</t>
  </si>
  <si>
    <t>3.</t>
  </si>
  <si>
    <t>Сбор, вывоз ТБО (ЖБО)</t>
  </si>
  <si>
    <t>4.</t>
  </si>
  <si>
    <t>Содержание мусоропроводов</t>
  </si>
  <si>
    <t>5.</t>
  </si>
  <si>
    <t>Текущий ремонт общего имущества</t>
  </si>
  <si>
    <t xml:space="preserve">6. </t>
  </si>
  <si>
    <t>Капитальный ремонт общего имущества</t>
  </si>
  <si>
    <t>7.</t>
  </si>
  <si>
    <t>Коммунальные услуги, в том числе:</t>
  </si>
  <si>
    <t>7.1.</t>
  </si>
  <si>
    <t>Холодное водоснабжение</t>
  </si>
  <si>
    <t>7.2.</t>
  </si>
  <si>
    <t>Горячее водоснабжение</t>
  </si>
  <si>
    <t>7.4.</t>
  </si>
  <si>
    <t>7.3.</t>
  </si>
  <si>
    <t>Центральное отопление</t>
  </si>
  <si>
    <t>3. Отчет о фактически выполненных работах по ремонту общего имущества в многоквартирном доме на основании принятого решения собственниками помещений</t>
  </si>
  <si>
    <t>Виды услуг (работ)</t>
  </si>
  <si>
    <t>Затраты за отчетный период, руб.</t>
  </si>
  <si>
    <t xml:space="preserve">1. </t>
  </si>
  <si>
    <t>Текущий ремонт</t>
  </si>
  <si>
    <t>__________________</t>
  </si>
  <si>
    <t>В целях контроля отчет предоставлен: __________________________________________</t>
  </si>
  <si>
    <t>(Ф.И.О. уполномоченного лица, определенного решением общего собрания)</t>
  </si>
  <si>
    <t>ООО "Техно-Р"</t>
  </si>
  <si>
    <t xml:space="preserve">      ул. Телевизионная д. 2 а    </t>
  </si>
  <si>
    <t xml:space="preserve">           2419,10 кв.м          </t>
  </si>
  <si>
    <t>Директор ООО "Техно-Р"</t>
  </si>
  <si>
    <t xml:space="preserve">      ул. Пионерская д. 16    </t>
  </si>
  <si>
    <t xml:space="preserve">      ул. Багговута д. 12    </t>
  </si>
  <si>
    <t xml:space="preserve">           2811,80 кв.м          </t>
  </si>
  <si>
    <t xml:space="preserve">      ул. Пионерская д. 15    </t>
  </si>
  <si>
    <t xml:space="preserve">      ул. Социалистическая  д. 4    </t>
  </si>
  <si>
    <t xml:space="preserve">      ул. Социалистическая  д. 6    </t>
  </si>
  <si>
    <t xml:space="preserve">      ул. Социалистическая  д. 6 корп. 1    </t>
  </si>
  <si>
    <t xml:space="preserve">          1005,30 кв.м          </t>
  </si>
  <si>
    <t xml:space="preserve">      ул. Социалистическая д. 9    </t>
  </si>
  <si>
    <t xml:space="preserve">      ул. Социалистическая  д. 12    </t>
  </si>
  <si>
    <t xml:space="preserve">      ул. Телевизионная д. 2     </t>
  </si>
  <si>
    <t xml:space="preserve">      ул. Телевизионная д. 4    </t>
  </si>
  <si>
    <t xml:space="preserve">      ул. Чичерина  д. 7 а    </t>
  </si>
  <si>
    <t xml:space="preserve">      ул. Чичерина д. 8    </t>
  </si>
  <si>
    <t xml:space="preserve">      пер. Чичерина  д. 24    </t>
  </si>
  <si>
    <t xml:space="preserve">      пер. Чичерина д. 28    </t>
  </si>
  <si>
    <t xml:space="preserve">      ул. Калинина д. 12   </t>
  </si>
  <si>
    <t xml:space="preserve">           2724,30 кв.м          </t>
  </si>
  <si>
    <t xml:space="preserve">      ул. Калинина д. 18   </t>
  </si>
  <si>
    <t xml:space="preserve">      ул. Калинина д. 23   </t>
  </si>
  <si>
    <t xml:space="preserve">      ул. Пионерская д. 9    </t>
  </si>
  <si>
    <t xml:space="preserve">      ул. Высокая  д. 4    </t>
  </si>
  <si>
    <t xml:space="preserve">           1817,70 кв.м          </t>
  </si>
  <si>
    <t xml:space="preserve">      ул. Пухова д. 15    </t>
  </si>
  <si>
    <t xml:space="preserve">           371,80 кв.м          </t>
  </si>
  <si>
    <t xml:space="preserve">      ул. Пухова  д. 17       </t>
  </si>
  <si>
    <t xml:space="preserve">      ул. Калинина  д. 4    </t>
  </si>
  <si>
    <t xml:space="preserve">      ул. Пионерская  д. 18    </t>
  </si>
  <si>
    <t xml:space="preserve">           2821,10 кв.м          </t>
  </si>
  <si>
    <t xml:space="preserve">           900,40 кв.м          </t>
  </si>
  <si>
    <t xml:space="preserve">      ул. Пионерская д. 2    </t>
  </si>
  <si>
    <t xml:space="preserve">      ул. Чичерина д. 16    </t>
  </si>
  <si>
    <t xml:space="preserve">      ул. Чичерина  д. 22     </t>
  </si>
  <si>
    <t>Начислено в 2011 г., руб.</t>
  </si>
  <si>
    <t>Поступило средств за 2011 г., руб.</t>
  </si>
  <si>
    <t>Выполнены работы за 2011 г., руб.</t>
  </si>
  <si>
    <t>Остаток средств на 01.01.2012 г., руб.</t>
  </si>
  <si>
    <t>А.Е. Артамонов</t>
  </si>
  <si>
    <t>Тариф, руб. на ед. изм.</t>
  </si>
  <si>
    <t>Капитальный ремонт</t>
  </si>
  <si>
    <t>Электроэнерния МОП</t>
  </si>
  <si>
    <t>Итого за жилищные и коммунальные услуги:</t>
  </si>
  <si>
    <t>перед собственниками помещений о выполнении договора управления многоквартирным домом за 2012 год</t>
  </si>
  <si>
    <t>"      "                              2013 год</t>
  </si>
  <si>
    <t>Смена труб ГВС и запорной арматуры стояка в подвале</t>
  </si>
  <si>
    <t>Смена полотенцесушителя (кв. 45)</t>
  </si>
  <si>
    <t>Смена трубопровода</t>
  </si>
  <si>
    <t>Замена задвижки ц/о</t>
  </si>
  <si>
    <t>Задолжен-ность населения за 2011 г.</t>
  </si>
  <si>
    <t>ИТОГО за жилищныеуслуги:</t>
  </si>
  <si>
    <t>1.6.</t>
  </si>
  <si>
    <t>1.7.</t>
  </si>
  <si>
    <t xml:space="preserve">      ул. Ленина д. 68/8    </t>
  </si>
  <si>
    <t xml:space="preserve">      ул. Ленина д. 67    </t>
  </si>
  <si>
    <t xml:space="preserve">      ул. Огарева д. 20    </t>
  </si>
  <si>
    <t xml:space="preserve">      ул. Пролетарская  д. 40    </t>
  </si>
  <si>
    <t xml:space="preserve">      ул. Чижевского д. 4    </t>
  </si>
  <si>
    <t xml:space="preserve">          1428,00 кв.м          </t>
  </si>
  <si>
    <t>Содержание и ремонт общего имущества</t>
  </si>
  <si>
    <t>Начислено в 2012 г., руб.</t>
  </si>
  <si>
    <t>Поступило средств за 2012 г., руб.</t>
  </si>
  <si>
    <t>Выполнены работы за 2012 г., руб.</t>
  </si>
  <si>
    <t>Задолжен-ность населения за 2012 г.</t>
  </si>
  <si>
    <t>Ремонт общего имущества</t>
  </si>
  <si>
    <t>1.8.</t>
  </si>
  <si>
    <t>1.9.</t>
  </si>
  <si>
    <t>1.10.</t>
  </si>
  <si>
    <t xml:space="preserve">   ул. Пионерская  д. 13/18  </t>
  </si>
  <si>
    <t xml:space="preserve">ул. Социалистическая  д. 3 </t>
  </si>
  <si>
    <t xml:space="preserve">  ул. Чичерина д. 12 корп. 1    </t>
  </si>
  <si>
    <t>ул. Телевизионная д. 6 корп. 1</t>
  </si>
  <si>
    <t>ул. Телевизионная д. 2 корп. 1</t>
  </si>
  <si>
    <t>ул. Чичерина д. 16 корп. 1</t>
  </si>
  <si>
    <t xml:space="preserve">      ул. Билибина д. 10     </t>
  </si>
  <si>
    <t xml:space="preserve">      ул. Билибина д. 26    </t>
  </si>
  <si>
    <t xml:space="preserve">      ул. Билибина д. 28   </t>
  </si>
  <si>
    <t xml:space="preserve">      ул. Ленина д. 61/5      </t>
  </si>
  <si>
    <t>заполнены</t>
  </si>
  <si>
    <t xml:space="preserve">      ул. Пролетарская д. 135</t>
  </si>
  <si>
    <t xml:space="preserve">           1934,20 кв.м          </t>
  </si>
  <si>
    <t xml:space="preserve">           2419.10 кв.м          </t>
  </si>
  <si>
    <t xml:space="preserve">      ул. Молодежная д. 41</t>
  </si>
  <si>
    <t xml:space="preserve">      ул. Солнечный бульвар д. 2</t>
  </si>
  <si>
    <t xml:space="preserve">      ул. Солнечный бульвар д. 4</t>
  </si>
  <si>
    <t xml:space="preserve">      ул. Солнечный бульвар д. 4/2</t>
  </si>
  <si>
    <t>Дополнительные услуги</t>
  </si>
  <si>
    <t>Холодное водоснабжение и водоотведение</t>
  </si>
  <si>
    <t>Горячее водоснабжение и водоотведение</t>
  </si>
  <si>
    <t>1.11.</t>
  </si>
  <si>
    <t xml:space="preserve">      ул. Аллейная, д.2</t>
  </si>
  <si>
    <t>1.12.</t>
  </si>
  <si>
    <t>1.13.</t>
  </si>
  <si>
    <t>Уборка мест общего пользования</t>
  </si>
  <si>
    <t>Справочно:</t>
  </si>
  <si>
    <t>Нежилые помещения</t>
  </si>
  <si>
    <t>площадь</t>
  </si>
  <si>
    <t>тариф</t>
  </si>
  <si>
    <t>начислено</t>
  </si>
  <si>
    <t>оплачено</t>
  </si>
  <si>
    <t>долг</t>
  </si>
  <si>
    <t xml:space="preserve">      ул. Телевизионная д. 10     </t>
  </si>
  <si>
    <t xml:space="preserve">      ул.Дубрава д. 3    </t>
  </si>
  <si>
    <t xml:space="preserve">           722,35 кв.м          </t>
  </si>
  <si>
    <t xml:space="preserve">      ул.Дубрава д.10</t>
  </si>
  <si>
    <t xml:space="preserve">      ул.Нефтебаза д.3</t>
  </si>
  <si>
    <t xml:space="preserve">          1788 кв.м          </t>
  </si>
  <si>
    <t xml:space="preserve">      ул.Нефтебаза д.5</t>
  </si>
  <si>
    <t xml:space="preserve">      ул.Аэропортовская д.14</t>
  </si>
  <si>
    <t xml:space="preserve">      ул.Дорожная д.11 корп.1</t>
  </si>
  <si>
    <t xml:space="preserve">      ул.Дорожная д.11 корп.2</t>
  </si>
  <si>
    <t xml:space="preserve">          2880,2 кв.м          </t>
  </si>
  <si>
    <t>Дезинсекция</t>
  </si>
  <si>
    <t>Обслуживание КПУ</t>
  </si>
  <si>
    <t>Кол-во</t>
  </si>
  <si>
    <t>Ед. изм.</t>
  </si>
  <si>
    <t>шт</t>
  </si>
  <si>
    <t>Содержание ОИ -эл/эн</t>
  </si>
  <si>
    <t>м3</t>
  </si>
  <si>
    <t>м2</t>
  </si>
  <si>
    <t>Ремонт кровли</t>
  </si>
  <si>
    <t xml:space="preserve">Лифт </t>
  </si>
  <si>
    <t>Ремонт порогов</t>
  </si>
  <si>
    <t>Мусоропровод</t>
  </si>
  <si>
    <t>Дератизация</t>
  </si>
  <si>
    <t>Электроэнергия ипу, в т.ч. содерж. ОИ эл/эн</t>
  </si>
  <si>
    <t xml:space="preserve">      ул.Дубрава д.1</t>
  </si>
  <si>
    <t xml:space="preserve">      ул.Дубрава д.2</t>
  </si>
  <si>
    <t xml:space="preserve">      ул.Дубрава д. 4    </t>
  </si>
  <si>
    <t xml:space="preserve">      ул.Дубрава д. 5    </t>
  </si>
  <si>
    <t xml:space="preserve">           622.50 кв.м          </t>
  </si>
  <si>
    <t xml:space="preserve">      ул.Дубрава д. 6   </t>
  </si>
  <si>
    <t xml:space="preserve">      ул.Дубрава д. 9    </t>
  </si>
  <si>
    <t xml:space="preserve">      ул.Дубрава д. 11    </t>
  </si>
  <si>
    <t>3. Отчет о фактически выполненных работах по ремонту общего имущества в многоквартирном доме на основании принятого решения 
собственниками помещений</t>
  </si>
  <si>
    <t>Уборка МОП</t>
  </si>
  <si>
    <t xml:space="preserve">      ул.Аэропортовская д.9</t>
  </si>
  <si>
    <t xml:space="preserve">      ул.Грабцевское шоссе д.160</t>
  </si>
  <si>
    <t xml:space="preserve">      ул.Хрустальная д.74</t>
  </si>
  <si>
    <t xml:space="preserve">      ул.Молодежная д.46</t>
  </si>
  <si>
    <t>Обслуживание ИТП</t>
  </si>
  <si>
    <t xml:space="preserve">      ул.Грабцевское шоссе д.132 корп.1</t>
  </si>
  <si>
    <t>Налог 1%</t>
  </si>
  <si>
    <t>Налог 1% от суммы оплаты</t>
  </si>
  <si>
    <t>Задолженность населения за 2019г.</t>
  </si>
  <si>
    <t>гор вода=28.25+(2104,62*0,0674)</t>
  </si>
  <si>
    <t>4.1.</t>
  </si>
  <si>
    <t>4.2.</t>
  </si>
  <si>
    <t>4.3.</t>
  </si>
  <si>
    <t>4.4.</t>
  </si>
  <si>
    <t xml:space="preserve">5. </t>
  </si>
  <si>
    <t>6.</t>
  </si>
  <si>
    <t>6.1.</t>
  </si>
  <si>
    <t>6.2.</t>
  </si>
  <si>
    <t>6.3.</t>
  </si>
  <si>
    <t>6.4.</t>
  </si>
  <si>
    <t>8.</t>
  </si>
  <si>
    <t>Доп. услуги</t>
  </si>
  <si>
    <t>8.1.</t>
  </si>
  <si>
    <t>8.2.</t>
  </si>
  <si>
    <t>8.3.</t>
  </si>
  <si>
    <t>8.4.</t>
  </si>
  <si>
    <t xml:space="preserve">      ул.Нефтебаза д.1</t>
  </si>
  <si>
    <t xml:space="preserve">      ул.Нефтебаза д.2</t>
  </si>
  <si>
    <t xml:space="preserve">      ул.Хрустальная д.66</t>
  </si>
  <si>
    <t xml:space="preserve">      ул.Хрустальная д.56</t>
  </si>
  <si>
    <t xml:space="preserve">      ул.Хрустальная д.70</t>
  </si>
  <si>
    <t xml:space="preserve">3081,40 кв.м          </t>
  </si>
  <si>
    <t xml:space="preserve">      ул.Дубрава д. 7  </t>
  </si>
  <si>
    <t xml:space="preserve">      ул.Хрустальная д.52</t>
  </si>
  <si>
    <t xml:space="preserve">      ул.Хрустальная д.62</t>
  </si>
  <si>
    <t xml:space="preserve">      ул.Гагарина д.9</t>
  </si>
  <si>
    <t xml:space="preserve">      ул.Добровольского д.14</t>
  </si>
  <si>
    <t xml:space="preserve">      ул.Чижевского д.12</t>
  </si>
  <si>
    <t xml:space="preserve">3056,10 кв.м          </t>
  </si>
  <si>
    <t>Вывоз тбо</t>
  </si>
  <si>
    <t xml:space="preserve">      ул.Болотникова д.16</t>
  </si>
  <si>
    <t xml:space="preserve">      ул.Нефтебаза д.4</t>
  </si>
  <si>
    <t xml:space="preserve">      ул.Молодежная д.48</t>
  </si>
  <si>
    <t xml:space="preserve">      ул.Чижевского д.23</t>
  </si>
  <si>
    <t xml:space="preserve">      ул.Плеханова д.2 корп.2</t>
  </si>
  <si>
    <t xml:space="preserve">      ул.Калинина д.15</t>
  </si>
  <si>
    <t>100 шт</t>
  </si>
  <si>
    <t>100 м2</t>
  </si>
  <si>
    <t>100 м</t>
  </si>
  <si>
    <t>100м</t>
  </si>
  <si>
    <t>100шт</t>
  </si>
  <si>
    <t>Ремонт отмостки</t>
  </si>
  <si>
    <t xml:space="preserve">      ул.Моторная д.30 А</t>
  </si>
  <si>
    <t>Уборка моп</t>
  </si>
  <si>
    <t>Дополнительные услуги (с квартиры уборка моп)</t>
  </si>
  <si>
    <t>Дополнительные услуги (уборка моп)</t>
  </si>
  <si>
    <t>Доп. Услуги (уборка моп)</t>
  </si>
  <si>
    <t>шт.</t>
  </si>
  <si>
    <t>договор</t>
  </si>
  <si>
    <t>4,82/5,06</t>
  </si>
  <si>
    <t>2104,62/2180,39</t>
  </si>
  <si>
    <t>товарный чек</t>
  </si>
  <si>
    <t>47,63/49,53</t>
  </si>
  <si>
    <t>товарная накладная</t>
  </si>
  <si>
    <t>накопления по октябрь 2020</t>
  </si>
  <si>
    <t xml:space="preserve">          2129,0 кв.м          </t>
  </si>
  <si>
    <t>100м3</t>
  </si>
  <si>
    <t>счет-фактура</t>
  </si>
  <si>
    <t xml:space="preserve">           4945,1 кв.м          </t>
  </si>
  <si>
    <t xml:space="preserve">           3045,6 кв.м          </t>
  </si>
  <si>
    <t xml:space="preserve">           1282,4 кв.м          </t>
  </si>
  <si>
    <t xml:space="preserve">          1389,5 кв.м          </t>
  </si>
  <si>
    <t>Дополнительные услуги (уборка МОП)</t>
  </si>
  <si>
    <t>170руб/лиц. счет</t>
  </si>
  <si>
    <t>100м2</t>
  </si>
  <si>
    <t xml:space="preserve">      ул. Чичерина д. 19</t>
  </si>
  <si>
    <t xml:space="preserve">          2013,2 кв.м          </t>
  </si>
  <si>
    <t xml:space="preserve">           2067,9 кв.м          </t>
  </si>
  <si>
    <t xml:space="preserve">           2979,7 кв.м          </t>
  </si>
  <si>
    <t xml:space="preserve">      ул. Тельмана  д. 10    </t>
  </si>
  <si>
    <t>без нежилого</t>
  </si>
  <si>
    <t>перед собственниками помещений о выполнении договора управления многоквартирным домом за 2020 год</t>
  </si>
  <si>
    <t>130руб/               лиц.счет</t>
  </si>
  <si>
    <t>Дополнительные услуги                                                           (уборка мест общего пользовния)</t>
  </si>
  <si>
    <t xml:space="preserve">      ул. Московская д. 167  </t>
  </si>
  <si>
    <t xml:space="preserve">          3424,3 кв.м          </t>
  </si>
  <si>
    <t xml:space="preserve">7. </t>
  </si>
  <si>
    <t>Электроэнергия на содержание ОИ -ЭЭ</t>
  </si>
  <si>
    <t>расчетный тариф</t>
  </si>
  <si>
    <t xml:space="preserve">Расходы по обслуживанию крышной котельной </t>
  </si>
  <si>
    <t xml:space="preserve">          2071,5 кв.м          </t>
  </si>
  <si>
    <t xml:space="preserve">Дезинсекция </t>
  </si>
  <si>
    <t>Долг населения на 31.01.20 г.</t>
  </si>
  <si>
    <t>Долг населения на 31.01.2021 г.</t>
  </si>
  <si>
    <t>Электроэнергия, содержание ОИ -эл/эн</t>
  </si>
  <si>
    <t>Замена запорной арматуры ГВС</t>
  </si>
  <si>
    <t xml:space="preserve">1589,5 кв.м          </t>
  </si>
  <si>
    <t>Замена светильников</t>
  </si>
  <si>
    <t xml:space="preserve">      ул.А.Королева д.29</t>
  </si>
  <si>
    <t xml:space="preserve">      ул.Суворова д.153 корп.5</t>
  </si>
  <si>
    <t xml:space="preserve">2507,5 кв.м          </t>
  </si>
  <si>
    <t xml:space="preserve">      ул.65 лет Победы д.29</t>
  </si>
  <si>
    <t xml:space="preserve">3530,6 кв.м          </t>
  </si>
  <si>
    <t>Замена фрагмента трубы на системе ХВС</t>
  </si>
  <si>
    <t xml:space="preserve">        4567.60 кв.м          </t>
  </si>
  <si>
    <t>Электроэнергия, электроэнергия на СОИ</t>
  </si>
  <si>
    <t>Горячее водоснабжение  и водоотведение</t>
  </si>
  <si>
    <t xml:space="preserve">      ул. Солнечный бульвар д.4/1</t>
  </si>
  <si>
    <t>Допуслуги</t>
  </si>
  <si>
    <t>Доп.услуги (обслуживание крышной котельной)</t>
  </si>
  <si>
    <t xml:space="preserve">      ул.Солнечный бульвар, д. 20</t>
  </si>
  <si>
    <t xml:space="preserve">       9080,2 кв.м          </t>
  </si>
  <si>
    <t xml:space="preserve">         8435.90 кв.м          </t>
  </si>
  <si>
    <t xml:space="preserve">          2672,9 кв.м          </t>
  </si>
  <si>
    <t>Замена фрагмента трубы канализации в подвале дома</t>
  </si>
  <si>
    <t>с Октября</t>
  </si>
  <si>
    <t xml:space="preserve"> 619,81 кв.м          </t>
  </si>
  <si>
    <t>Замена запорной арматуры на системе ЦО в подвале дома</t>
  </si>
  <si>
    <t xml:space="preserve">           734.50 кв.м          </t>
  </si>
  <si>
    <t>Смена запорной арматуры на системе отопления в подвале дома</t>
  </si>
  <si>
    <t>Доп.услуги</t>
  </si>
  <si>
    <t>Остаток средств на проведение капитального ремонта по состоянию на 31.01.2021 г.</t>
  </si>
  <si>
    <t>Остаток средств на проведение текущего ремонта по состоянию на 31.01.2021 г.</t>
  </si>
  <si>
    <t>начислений нет</t>
  </si>
  <si>
    <t>Доп. услуги (подъезд №2)</t>
  </si>
  <si>
    <t xml:space="preserve">Ремонт общего имущества </t>
  </si>
  <si>
    <t>Дополнительные услуги                                                           (уборка мест общего пользования)</t>
  </si>
  <si>
    <t>Остаток средств на проведение текущего ремонта по состоянию на 31.01.20 г.</t>
  </si>
  <si>
    <t>Дополнительные услуги (на лицевой счет)</t>
  </si>
  <si>
    <t>1.14.</t>
  </si>
  <si>
    <t xml:space="preserve">3582,4 кв.м          </t>
  </si>
  <si>
    <t>неж</t>
  </si>
  <si>
    <t xml:space="preserve">           2559,1 кв.м          </t>
  </si>
  <si>
    <t>50 квартир</t>
  </si>
  <si>
    <t xml:space="preserve">           898,4 кв.м          </t>
  </si>
  <si>
    <t xml:space="preserve">637,03 кв.м          </t>
  </si>
  <si>
    <t>Гаражи</t>
  </si>
  <si>
    <t>Водоотведение ОИ</t>
  </si>
  <si>
    <t>Горячее водоснабжение ОИ</t>
  </si>
  <si>
    <t>Холодное водоснабжение ОИ</t>
  </si>
  <si>
    <t>Долг населения на 31.01.2021г.</t>
  </si>
  <si>
    <t xml:space="preserve">3919,4 кв.м          </t>
  </si>
  <si>
    <t xml:space="preserve">           799,9 кв.м          </t>
  </si>
  <si>
    <t xml:space="preserve">           719,0 кв.м          </t>
  </si>
  <si>
    <t>Промывка сетей ВКХ</t>
  </si>
  <si>
    <t>счет</t>
  </si>
  <si>
    <t xml:space="preserve">           1278,2 кв.м          </t>
  </si>
  <si>
    <t xml:space="preserve">           1994,6 кв.м          </t>
  </si>
  <si>
    <t xml:space="preserve">          2552,4 кв.м          </t>
  </si>
  <si>
    <t>Допуслуги (уборка МОП)</t>
  </si>
  <si>
    <t xml:space="preserve">      ул.Кооперативная д.1/2</t>
  </si>
  <si>
    <t xml:space="preserve">7582,1 кв.м          </t>
  </si>
  <si>
    <t>Доп.услуги (уборка МОП)</t>
  </si>
  <si>
    <t xml:space="preserve">       15230,3 кв.м          </t>
  </si>
  <si>
    <t>8.0.</t>
  </si>
  <si>
    <t xml:space="preserve">Размещение оборудования операторами связи </t>
  </si>
  <si>
    <t>учтена</t>
  </si>
  <si>
    <t>9.</t>
  </si>
  <si>
    <t>Дверь ПВХ</t>
  </si>
  <si>
    <t>Размещение оборудования операторами связи</t>
  </si>
  <si>
    <t>Содержание и обслуживание крышной котельной</t>
  </si>
  <si>
    <t xml:space="preserve">      ул.Нефтебаза д.6</t>
  </si>
  <si>
    <t>Доп. Услуги (уборка моп на лицевой счет)</t>
  </si>
  <si>
    <t>Установка поручня</t>
  </si>
  <si>
    <t>2.1.</t>
  </si>
  <si>
    <t>2.2.</t>
  </si>
  <si>
    <t>1.15.</t>
  </si>
  <si>
    <t>Ремонт парапета</t>
  </si>
  <si>
    <t>2.0.</t>
  </si>
  <si>
    <t>договор с ООО "РТК-сервис"</t>
  </si>
  <si>
    <t>1.16.</t>
  </si>
  <si>
    <t>1.17.</t>
  </si>
  <si>
    <t>1.18.</t>
  </si>
  <si>
    <t>2.3.</t>
  </si>
  <si>
    <t>2.4.</t>
  </si>
  <si>
    <t>Обслуживание по договору</t>
  </si>
  <si>
    <t xml:space="preserve">2. </t>
  </si>
  <si>
    <t>Электропривод</t>
  </si>
  <si>
    <t>Ремонт подъезда</t>
  </si>
  <si>
    <t>Дополнительные услуги (уборка моп на лицевой счет)</t>
  </si>
  <si>
    <t>Плановый   ремонт общего имущества</t>
  </si>
  <si>
    <t>Плановый  ремонт общего имущества</t>
  </si>
  <si>
    <t>Плановый ремонт общего имущества</t>
  </si>
  <si>
    <t>Начислено за 2021 г., руб.</t>
  </si>
  <si>
    <t>Поступило средств за 2021 г., руб.</t>
  </si>
  <si>
    <t>Выполнены работы за 2021 г., руб.</t>
  </si>
  <si>
    <t>Задолженность населения за 2021г.</t>
  </si>
  <si>
    <t>Начисление и оплата за обслуживание КПУ включена в содержание общего имущества</t>
  </si>
  <si>
    <t>5,06/5,30</t>
  </si>
  <si>
    <t>2180,39/2247,46</t>
  </si>
  <si>
    <t>196,49/202,33</t>
  </si>
  <si>
    <t>49,53/50,85</t>
  </si>
  <si>
    <t>Долг населения на 31.01.2022 г.</t>
  </si>
  <si>
    <t>перед собственниками помещений о выполнении договора управления многоквартирным домом за 2021 год</t>
  </si>
  <si>
    <t xml:space="preserve">           4710,0 кв.м          </t>
  </si>
  <si>
    <t>Остаток средств на проведение капитального ремонта по состоянию на 31.01.2022 г.</t>
  </si>
  <si>
    <t>Остаток средств на проведение текущего ремонта по состоянию на 31.01.2022 г.</t>
  </si>
  <si>
    <r>
      <t xml:space="preserve">          </t>
    </r>
    <r>
      <rPr>
        <u val="single"/>
        <sz val="11"/>
        <color indexed="10"/>
        <rFont val="Times New Roman"/>
        <family val="1"/>
      </rPr>
      <t xml:space="preserve"> 3555,5 кв.м    </t>
    </r>
    <r>
      <rPr>
        <u val="single"/>
        <sz val="11"/>
        <rFont val="Times New Roman"/>
        <family val="1"/>
      </rPr>
      <t xml:space="preserve">      </t>
    </r>
  </si>
  <si>
    <t xml:space="preserve">           3502,5 кв.м          </t>
  </si>
  <si>
    <t>Остаток средств на проведение капитального ремонта по состоянию на 31.01.2021г.</t>
  </si>
  <si>
    <t>Остаток средств на проведение текущего ремонта по состоянию на 31.01.2021г.</t>
  </si>
  <si>
    <t xml:space="preserve">         2545,8 кв.м          </t>
  </si>
  <si>
    <r>
      <t xml:space="preserve">          </t>
    </r>
    <r>
      <rPr>
        <u val="single"/>
        <sz val="11"/>
        <color indexed="10"/>
        <rFont val="Times New Roman"/>
        <family val="1"/>
      </rPr>
      <t xml:space="preserve"> 1622,80 кв.м       </t>
    </r>
    <r>
      <rPr>
        <u val="single"/>
        <sz val="11"/>
        <rFont val="Times New Roman"/>
        <family val="1"/>
      </rPr>
      <t xml:space="preserve">   </t>
    </r>
  </si>
  <si>
    <t>1902,11/12,54</t>
  </si>
  <si>
    <t>12,54/1902,11</t>
  </si>
  <si>
    <t>Уборка МОП 2п кв.17-32</t>
  </si>
  <si>
    <t>110 руб/лиц.счет</t>
  </si>
  <si>
    <t xml:space="preserve">          3410,7 кв.м          </t>
  </si>
  <si>
    <t xml:space="preserve">           4573,69 кв.м          </t>
  </si>
  <si>
    <t xml:space="preserve">           3121,8 кв.м          </t>
  </si>
  <si>
    <t xml:space="preserve">          3367,9 кв.м          </t>
  </si>
  <si>
    <t xml:space="preserve">           3397,0 кв.м          </t>
  </si>
  <si>
    <t>Остаток средств на проведение капитального ремонта по состоянию на 31.01.21 г.</t>
  </si>
  <si>
    <t>Остаток средств на проведение текущего ремонта по состоянию на 31.01.21 г.</t>
  </si>
  <si>
    <t xml:space="preserve">           3216,7 кв.м          </t>
  </si>
  <si>
    <t>130 руб./            лиц.счет</t>
  </si>
  <si>
    <t xml:space="preserve">           2863,9 кв.м          </t>
  </si>
  <si>
    <t>Остаток средств на проведение капитального ремонта по состоянию на 01.02.2021 г.</t>
  </si>
  <si>
    <t>Остаток средств на проведение текущего ремонта по состоянию на 01.02.2021 г.</t>
  </si>
  <si>
    <t>Дополнительные услуги (уборка МОП  кв. 31-45;61-75)</t>
  </si>
  <si>
    <t>100 руб.             /лиц.счет</t>
  </si>
  <si>
    <t>5511,4 кв.м.</t>
  </si>
  <si>
    <t>3,54/3,71</t>
  </si>
  <si>
    <t>185,59/191,09</t>
  </si>
  <si>
    <t>Остаток средст на проведение текущего ремонта по состоянию на 31.01.2021 г.</t>
  </si>
  <si>
    <t xml:space="preserve">           3810,3 кв.м          </t>
  </si>
  <si>
    <t xml:space="preserve">         1788,4 кв.м          </t>
  </si>
  <si>
    <t>Остаток средсты на проведение капитального ремонта по состоянию на 31.01.2022 г.</t>
  </si>
  <si>
    <t xml:space="preserve">          3809,9 кв.м          </t>
  </si>
  <si>
    <t>Дополнительные услуги (уборка МОП  кв.13-24)</t>
  </si>
  <si>
    <t>110 руб./лиц.счет</t>
  </si>
  <si>
    <t>Остаток средств на проведение капитального ремонта по состоянию на 31.12.2021 г.</t>
  </si>
  <si>
    <t>Остаток средств на проведение текущего ремонта по состоянию на 31.12.2021 г.</t>
  </si>
  <si>
    <t>Дополнительные услуги (установка узла учета тепловой энергии)</t>
  </si>
  <si>
    <t xml:space="preserve">          3136,5 кв.м          </t>
  </si>
  <si>
    <t>174,95/178,67</t>
  </si>
  <si>
    <t>2009,93/2048,41</t>
  </si>
  <si>
    <t>Остаток средств на проведение текущего ремонта по состоянию на 31.01.2022 г. (с учетом нежилых помещений)</t>
  </si>
  <si>
    <t xml:space="preserve"> 15556,6   кв.м. </t>
  </si>
  <si>
    <t>3,71/5,30</t>
  </si>
  <si>
    <t>185/188,91</t>
  </si>
  <si>
    <t xml:space="preserve">         9269,5 кв.м          </t>
  </si>
  <si>
    <t xml:space="preserve">        2383,36 кв.м          </t>
  </si>
  <si>
    <t xml:space="preserve">        5660,5 кв.м          </t>
  </si>
  <si>
    <t xml:space="preserve"> 4381,1 кв.м          </t>
  </si>
  <si>
    <t xml:space="preserve">           2224,5 кв.м          </t>
  </si>
  <si>
    <t>Остаток средств на проведение текущего ремонта по состоянию на 01.04.2021 г.</t>
  </si>
  <si>
    <t xml:space="preserve">           1903,00 кв.м          </t>
  </si>
  <si>
    <t xml:space="preserve">          3268,9 кв.м          </t>
  </si>
  <si>
    <t>Допуслуги (уборка МОП кв.21-35)</t>
  </si>
  <si>
    <t>140 руб./лиц.счет</t>
  </si>
  <si>
    <t xml:space="preserve">           3706.7 кв.м          </t>
  </si>
  <si>
    <t xml:space="preserve"> 1347,9 кв.м          </t>
  </si>
  <si>
    <t xml:space="preserve">2607,10 кв.м          </t>
  </si>
  <si>
    <t xml:space="preserve">          1990,85 кв.м          </t>
  </si>
  <si>
    <t xml:space="preserve">          2380,5 кв.м          </t>
  </si>
  <si>
    <t>191,04/196,71</t>
  </si>
  <si>
    <t>Уборка МОП     (140 руб/лицевой счет)</t>
  </si>
  <si>
    <t xml:space="preserve">         899,5 кв.м          </t>
  </si>
  <si>
    <t xml:space="preserve">   4535,3 кв.м          </t>
  </si>
  <si>
    <t xml:space="preserve">   3178,1 кв.м          </t>
  </si>
  <si>
    <t xml:space="preserve">   3291,8 кв.м          </t>
  </si>
  <si>
    <t xml:space="preserve">    4409,88 кв.м          </t>
  </si>
  <si>
    <t>Остаток средств на проведение планового ремонта по состоянию на 31.01.21 г.</t>
  </si>
  <si>
    <t>Остаток средств накопления на плановый ремонт по состоянию на 31.01.2022 г.</t>
  </si>
  <si>
    <t xml:space="preserve">       10251,3 кв.м          </t>
  </si>
  <si>
    <t>2232,17/2299,13</t>
  </si>
  <si>
    <t>Остаток средств на проведение текущего ремонта по состоянию на 01.01.21 г.</t>
  </si>
  <si>
    <t>12,54/39,62</t>
  </si>
  <si>
    <t>Остаток средств на содержание крышной котельной по  состоянию на 31.01.22 г.</t>
  </si>
  <si>
    <t xml:space="preserve">       9162,0 кв.м          </t>
  </si>
  <si>
    <t xml:space="preserve">      ул.Дубрава д.1 а</t>
  </si>
  <si>
    <t xml:space="preserve">           78.4 кв.м          </t>
  </si>
  <si>
    <t xml:space="preserve">3309,60 кв.м          </t>
  </si>
  <si>
    <t>Остаток средств на проведение текущего ремонта по состоянию на 31.01.2022г.</t>
  </si>
  <si>
    <t>Остаток средств планового ремонта по состоянию на 31.01.2022 г.</t>
  </si>
  <si>
    <t xml:space="preserve">5782,7 кв.м          </t>
  </si>
  <si>
    <t>Остаток средств на проведение текущего ремонта по состоянию на 01.05.21 г.</t>
  </si>
  <si>
    <t>Остаток средств на проведение текущего ремонта по состоянию на 01.08.21 г.</t>
  </si>
  <si>
    <t>29,38/30,10</t>
  </si>
  <si>
    <t>176,34/181,58</t>
  </si>
  <si>
    <t>20,15/20,75</t>
  </si>
  <si>
    <t xml:space="preserve">1385,3 кв.м          </t>
  </si>
  <si>
    <t>Остаток средств на проведение текущего ремонта по состоянию на 01.12.21 г.</t>
  </si>
  <si>
    <t>39,62/1902,11/12,54</t>
  </si>
  <si>
    <t xml:space="preserve">      ул.Грабцевское шоссе д.78</t>
  </si>
  <si>
    <t xml:space="preserve">1639,4 кв.м          </t>
  </si>
  <si>
    <t xml:space="preserve">      ул.Грабцевское шоссе д.77</t>
  </si>
  <si>
    <t xml:space="preserve">4612,3 кв.м          </t>
  </si>
  <si>
    <t xml:space="preserve">      ул.Парижской Коммуны д.1а</t>
  </si>
  <si>
    <t xml:space="preserve">2245,6 кв.м          </t>
  </si>
  <si>
    <t>170 руб./лиц.счет</t>
  </si>
  <si>
    <t>Доп. Услуги (кв.4-27)</t>
  </si>
  <si>
    <t xml:space="preserve">Доп. Услуги </t>
  </si>
  <si>
    <t>Ремонт общего имущества нежилые помещения за период 2021г.</t>
  </si>
  <si>
    <t>1,99/2,06</t>
  </si>
  <si>
    <t>Нежилые помещения, 2021 год</t>
  </si>
  <si>
    <t xml:space="preserve">          5353,8 кв.м          </t>
  </si>
  <si>
    <t>справочно:</t>
  </si>
  <si>
    <t xml:space="preserve">5157,1 кв.м          </t>
  </si>
  <si>
    <t xml:space="preserve">22620,5 кв.м          </t>
  </si>
  <si>
    <t>справочно</t>
  </si>
  <si>
    <t xml:space="preserve">          1698,3 кв.м          </t>
  </si>
  <si>
    <t xml:space="preserve">           5228,8 кв.м          </t>
  </si>
  <si>
    <t xml:space="preserve">           1554,9 кв.м          </t>
  </si>
  <si>
    <t xml:space="preserve">           2529,8 кв.м          </t>
  </si>
  <si>
    <t xml:space="preserve">         3906,3   кв.м          </t>
  </si>
  <si>
    <t xml:space="preserve">         3109,2 кв.м          </t>
  </si>
  <si>
    <t xml:space="preserve">        3951,2 кв.м          </t>
  </si>
  <si>
    <t xml:space="preserve">        7357,8 кв.м          </t>
  </si>
  <si>
    <t xml:space="preserve">Размещение оборудования операторами связи      </t>
  </si>
  <si>
    <t>Материал для субботника</t>
  </si>
  <si>
    <t>Эмаль для субботника</t>
  </si>
  <si>
    <t>Кичти для субботника</t>
  </si>
  <si>
    <t>100шт.</t>
  </si>
  <si>
    <t>Услуги по проведению периодической поверки узла учета тепловой энергии</t>
  </si>
  <si>
    <t>Штукатурка балкона</t>
  </si>
  <si>
    <t>"      "                        2022 год</t>
  </si>
  <si>
    <t>Шланг поливочный армированный</t>
  </si>
  <si>
    <t>Смена труб канализации в техническом подполье</t>
  </si>
  <si>
    <t>Ремонт межпанельный швов</t>
  </si>
  <si>
    <t>Ремонт водосточной системы</t>
  </si>
  <si>
    <t>Яшик почтовый 5-ти секционный КП-5 ( под.1)</t>
  </si>
  <si>
    <t>Замена трубопровода цо (кв.1)</t>
  </si>
  <si>
    <t>Замена трубопровода цо (кв.18)</t>
  </si>
  <si>
    <t>"      "                   2022 год</t>
  </si>
  <si>
    <t>Ремонт ввода ХВС</t>
  </si>
  <si>
    <t>Уайт-спирит</t>
  </si>
  <si>
    <t>Кисть для субботника</t>
  </si>
  <si>
    <t>Замена кранов на цо (кв.5)</t>
  </si>
  <si>
    <t>Замена запорной арматуры на цо</t>
  </si>
  <si>
    <t>Смена запорной арматуры ГВС</t>
  </si>
  <si>
    <t>Замена трубопровода канализации</t>
  </si>
  <si>
    <t>Бункер для мусора (чистка чердака)</t>
  </si>
  <si>
    <t>Замена светильников (под.2)</t>
  </si>
  <si>
    <t>Замена светильников в подъезде (под.2)</t>
  </si>
  <si>
    <t>Изготовление и монтаж металлической лестницы и 2-х поручней в подвале</t>
  </si>
  <si>
    <t>Краска фасадная для субботника</t>
  </si>
  <si>
    <t>Смена труб цо</t>
  </si>
  <si>
    <t>Светильник светодиодный уличный</t>
  </si>
  <si>
    <t>Ремонт межпанельных швов</t>
  </si>
  <si>
    <t>Материалы для субботника</t>
  </si>
  <si>
    <t>Замена трубопровода ХВС (кв.83)</t>
  </si>
  <si>
    <t>Замена уличного светильника (под.1)</t>
  </si>
  <si>
    <t>установка леерного ограждения</t>
  </si>
  <si>
    <t>Восстановление отопления на лестничной клетке (под.2)</t>
  </si>
  <si>
    <t>Восстановление отопления на лестничной клетке (под.1)</t>
  </si>
  <si>
    <t>100кВт</t>
  </si>
  <si>
    <t>Установка радиатора отопленияна л/клетке (под.2)</t>
  </si>
  <si>
    <t>Косметический ремонт подъезда (под.2)</t>
  </si>
  <si>
    <t>Ремонт козырька</t>
  </si>
  <si>
    <t>Окраска згазовой трубы</t>
  </si>
  <si>
    <t>Замена трубопровода ХВС (кв.51)</t>
  </si>
  <si>
    <t>Замена светильников (под.3,4)</t>
  </si>
  <si>
    <t>Ремонт рам, остекление (под.4)</t>
  </si>
  <si>
    <t>Замена трубопровода канализации (кв.2)</t>
  </si>
  <si>
    <t>Ремонт кровли (кв.9)</t>
  </si>
  <si>
    <t>Замена светильников над подъездами (под.1,2)</t>
  </si>
  <si>
    <t>акт</t>
  </si>
  <si>
    <t>Смена стояков ГВС</t>
  </si>
  <si>
    <t>Замена стояков ХВС и ГВС (кв.1,7)</t>
  </si>
  <si>
    <t>Замена трубопровода канализации в подвале дома</t>
  </si>
  <si>
    <t>Ремонт цоколя,устройство леерного ограждения</t>
  </si>
  <si>
    <t>Ремонт кровли (кв.33)</t>
  </si>
  <si>
    <t>Установка балансировочного клапана на цо</t>
  </si>
  <si>
    <t>Замена трубопровода ХВС (кв.2)</t>
  </si>
  <si>
    <t>Штукатурка откосов</t>
  </si>
  <si>
    <t>Ремонт кладки приямков, изготовление и монтаж металлических козырьков на приямками</t>
  </si>
  <si>
    <t>Остаток денежных средств от ЖРЭУ №21</t>
  </si>
  <si>
    <t>Вывоз мусора из подвалов</t>
  </si>
  <si>
    <t>Услуги по проведению периодической поверки узла учета тепловой энергии ввод №3</t>
  </si>
  <si>
    <t>Услуги по проведению периодической поверки узла учета тепловой энергии ввод №1</t>
  </si>
  <si>
    <t>Услуги по проведению периодической поверки узла учета тепловой энергии ввод №2</t>
  </si>
  <si>
    <t>Услуги по проведению периодической поверки узла учета тепловй энергии</t>
  </si>
  <si>
    <t>Покраска лавочки</t>
  </si>
  <si>
    <t>Ремонт лавки</t>
  </si>
  <si>
    <t>Смена стояка канализации (кв.19)</t>
  </si>
  <si>
    <t>Смена запорной арматуры на цо</t>
  </si>
  <si>
    <t>Изготовление и монтаж пандуса</t>
  </si>
  <si>
    <t>Смена труб ГВС в подвале дома</t>
  </si>
  <si>
    <t>Кисти для субботника</t>
  </si>
  <si>
    <t>Смена стояков ГВС и ХВС</t>
  </si>
  <si>
    <t>Смена стояков ГВС и ХВС (кв.118)</t>
  </si>
  <si>
    <t>Установка светильников</t>
  </si>
  <si>
    <t>Замена трубопроводов ХВС и ГВС (кв.97,113)</t>
  </si>
  <si>
    <t xml:space="preserve">Табличка </t>
  </si>
  <si>
    <t>Электронная отчетность и электронная подпись</t>
  </si>
  <si>
    <t>Смена труб ГВС (кв.2)</t>
  </si>
  <si>
    <t>Замена трубопровода цо (кв.39)</t>
  </si>
  <si>
    <t>Уборка листвы и веток</t>
  </si>
  <si>
    <t>м3/чел.час</t>
  </si>
  <si>
    <t>20./6</t>
  </si>
  <si>
    <t>Смена стояка ХВС (кв.6,7)</t>
  </si>
  <si>
    <t>4/2.</t>
  </si>
  <si>
    <t>Эмаль черная</t>
  </si>
  <si>
    <t>м3/чел.час.</t>
  </si>
  <si>
    <t>12/2.</t>
  </si>
  <si>
    <t>Смена стояка цо (кв.55)</t>
  </si>
  <si>
    <t>Смена трубопровода цо (кв.45)</t>
  </si>
  <si>
    <t>Замена трубопровода цо в подвале дома</t>
  </si>
  <si>
    <t>Замена запорной арматуры цо</t>
  </si>
  <si>
    <t>Замена радиатора (кв.53)</t>
  </si>
  <si>
    <t>Смена труб цо (кв.37)</t>
  </si>
  <si>
    <t>Засыпка провала около дома</t>
  </si>
  <si>
    <t>Смена трубопровода канализации в подвале дома (под.2)</t>
  </si>
  <si>
    <t>Устройство наружного освещения</t>
  </si>
  <si>
    <t>Система ограждения</t>
  </si>
  <si>
    <t>комп.</t>
  </si>
  <si>
    <t>Комплекс кадастровых работ по выносу проекта в натуру 7-ми  поворотных точек границ земельного участка</t>
  </si>
  <si>
    <t>Подшипник №6310</t>
  </si>
  <si>
    <t>Изготовление проектной документации по установке циркулчционного насоса на систему ГВС</t>
  </si>
  <si>
    <t>Замена запорной арматуры на системе цо в подъезде</t>
  </si>
  <si>
    <t xml:space="preserve">За счет средств размещение оборудования операторами связи </t>
  </si>
  <si>
    <t>Герметизация утеплителя на фасаде дома</t>
  </si>
  <si>
    <t xml:space="preserve">Смена трубопровода ГВС </t>
  </si>
  <si>
    <t xml:space="preserve">Замена запорной арматуры на цо перед радиаторами </t>
  </si>
  <si>
    <t xml:space="preserve">Замена стояка цо </t>
  </si>
  <si>
    <t>Замена запорной арматуры на системе цо в подвале дома</t>
  </si>
  <si>
    <t>Замена кранов на системе ГВС в подвале дома</t>
  </si>
  <si>
    <t>Замена запорной арматуры на системе ГВС в подвале дома</t>
  </si>
  <si>
    <t>Замена запорной арматуры на системе ХВС в подвале дома (под.5)</t>
  </si>
  <si>
    <t>Косметический ремонт подъезда (под.3)</t>
  </si>
  <si>
    <t>Устройство резинового покрытия в подъезде</t>
  </si>
  <si>
    <t>Смена фрагмента трубы ХВС в подвале дома (под.6)</t>
  </si>
  <si>
    <t>Замена преобразователя частоты с главного привода пассажирского лифта с ремонтом ПЧ в сервисном центре</t>
  </si>
  <si>
    <t>Утепление и герметизация деформационных швов</t>
  </si>
  <si>
    <t>Замена крана на системе ХВС в подвале дома</t>
  </si>
  <si>
    <t>Смена фрагмента трубы цо</t>
  </si>
  <si>
    <t>Замена радиатора в подъезде</t>
  </si>
  <si>
    <t>Замена освещения в подъездах</t>
  </si>
  <si>
    <t>Жесткий диск для хранения системы видионаблюдения</t>
  </si>
  <si>
    <t>Замена крана на системе ХВС (кв.61)</t>
  </si>
  <si>
    <t>Восстановление освещения в подъеде и подвале дома</t>
  </si>
  <si>
    <t>Восстановление освещения в подвале дома</t>
  </si>
  <si>
    <t>Изготовление , покраска и монтаж металлического козырька</t>
  </si>
  <si>
    <t>Смена фрагмента трубы ХВС</t>
  </si>
  <si>
    <t>Замена запорной арматуры цо в подвале дома</t>
  </si>
  <si>
    <t>Краска для качелей и лавки</t>
  </si>
  <si>
    <t>Замена стояка ГВС</t>
  </si>
  <si>
    <t>Смена кранов на системе ГВС в подвале дома</t>
  </si>
  <si>
    <t>Смена дверного доводчика</t>
  </si>
  <si>
    <t>Смена фрагмента трубы на системе ГВС в подвале дома</t>
  </si>
  <si>
    <t>Подшипник , масляный насос ремкомплект, подшипник, элемент питания электронного корректора</t>
  </si>
  <si>
    <t>Насос циркуляционный</t>
  </si>
  <si>
    <t>Замена осветительных приборов в подъезде</t>
  </si>
  <si>
    <t>Перчатки для субботника</t>
  </si>
  <si>
    <t>Замена водопровода ХВС (кв.4,5,6)</t>
  </si>
  <si>
    <t>Замена трубопровода цо по подвалу дома</t>
  </si>
  <si>
    <t>Заключение БТИ по физическому износу канализации и системы ХВС</t>
  </si>
  <si>
    <t>Замена автомата в подъезде</t>
  </si>
  <si>
    <t>Ремонт шиферной кровли (кв.28-30)</t>
  </si>
  <si>
    <t>Услуги по обращению с отходами (бункер)</t>
  </si>
  <si>
    <t>Замена кранов на системе отопления в подвале дома</t>
  </si>
  <si>
    <t>Замена светильников на лестничных площадках</t>
  </si>
  <si>
    <t>Заключение о техническом состоянии объекта кап.строительства системы канализации</t>
  </si>
  <si>
    <t>Укрепление трубы канализации в подвале дома</t>
  </si>
  <si>
    <t>Восстановление освещения в подъездах</t>
  </si>
  <si>
    <t>Смена канализации в подвале дома</t>
  </si>
  <si>
    <t>Замена участка канализации в подвале дома</t>
  </si>
  <si>
    <t>Замена проводки в подъездах</t>
  </si>
  <si>
    <t>Смена фрагмента ливневой трубы</t>
  </si>
  <si>
    <t>Установка дренажного насоса в подвале дома</t>
  </si>
  <si>
    <t>Замена труб на системе ГВС в подвале дома</t>
  </si>
  <si>
    <t>Замена фрагмента трубы на системе ХВС в подвале дома</t>
  </si>
  <si>
    <t>Смена фрагмента трубы канализации</t>
  </si>
  <si>
    <t>Преобразователь давления</t>
  </si>
  <si>
    <t>Замена труб ливневой канализации</t>
  </si>
  <si>
    <t>Замена светильников (7,8 этажи)</t>
  </si>
  <si>
    <t>Замена светильников (9 этаж)</t>
  </si>
  <si>
    <t>Восстановление освещения в подъезде и подвале дома</t>
  </si>
  <si>
    <t>Смена труб канализации в подвале дома (кв.76)</t>
  </si>
  <si>
    <t>Смена фрагмента трубы канализации (кв.33)</t>
  </si>
  <si>
    <t>Косметический ремонт подъездов</t>
  </si>
  <si>
    <t>Изделия из ПВХ профиля с входной дверью ПВХ, монтаж</t>
  </si>
  <si>
    <t>Замена фрагмента трубы ХВС (кв.108)</t>
  </si>
  <si>
    <t>Замена крана на системе ХВС (кв.15)</t>
  </si>
  <si>
    <t>Ремонт вентканалов</t>
  </si>
  <si>
    <t>Замена спускного крана на радиаторе (кв.32)</t>
  </si>
  <si>
    <t>Замена крана на системе ХВС (кв.1)</t>
  </si>
  <si>
    <t>Замена прожектора над входной дверью в подъезд (под.3)</t>
  </si>
  <si>
    <t>Замена труб ХВС (кв.4)</t>
  </si>
  <si>
    <t>Ремонт кровли (кв.68)</t>
  </si>
  <si>
    <t>Ремонт кровли (кв.5,8,25)</t>
  </si>
  <si>
    <t>Замена фрагмента трубы на ГВС и ХВС в подвале дома</t>
  </si>
  <si>
    <t>Пластина</t>
  </si>
  <si>
    <t>Прокладка</t>
  </si>
  <si>
    <t>Установка шланга для полива в подвале дома</t>
  </si>
  <si>
    <t>Замена замков выхода на крышу (под.5,6,7)</t>
  </si>
  <si>
    <t>Установка насоса на сисиему цо (под.1,7)</t>
  </si>
  <si>
    <t>Замена осветительного прибора в подъезде</t>
  </si>
  <si>
    <t>Установка вибровставки</t>
  </si>
  <si>
    <t>Замена запорного крана на системе ХВС (кв.83)</t>
  </si>
  <si>
    <t>Замена крана на системе ГВС (кв.133)</t>
  </si>
  <si>
    <t>Ремонт кровли (кв.141)</t>
  </si>
  <si>
    <t>соед.</t>
  </si>
  <si>
    <t>Клапан регулирующий</t>
  </si>
  <si>
    <t>Клапан предохранительный регулирующий</t>
  </si>
  <si>
    <t>Установка фланцев на системе цо в подвале дома</t>
  </si>
  <si>
    <t>Регулировка цо в квартире (кв.64)</t>
  </si>
  <si>
    <t>Установка насоса</t>
  </si>
  <si>
    <t>Замена вилок на насос</t>
  </si>
  <si>
    <t>Смена труб канализации</t>
  </si>
  <si>
    <t>Уборка подвального помещения от строительного мусора</t>
  </si>
  <si>
    <t>Ремонт электродвигателя с заменой подшипников на лифте (п.3)</t>
  </si>
  <si>
    <t>Установка насоса на системе ГВС в подвале дома (кв.86)</t>
  </si>
  <si>
    <t>Замена крана на системе ГВС в подвале дома</t>
  </si>
  <si>
    <t>Установка фильтра на системе ГВС в подвале дома</t>
  </si>
  <si>
    <t>10шт.</t>
  </si>
  <si>
    <t>Замена крана (кв.1)</t>
  </si>
  <si>
    <t>Замена крана (кв.24)</t>
  </si>
  <si>
    <t>Установка пандуса (под.2)</t>
  </si>
  <si>
    <t>Доставка и установка 3-х металлических дверей на входы в подъезды</t>
  </si>
  <si>
    <t>Ремонт стены</t>
  </si>
  <si>
    <t>Изготовление электронной подписи, лицензия на передачу отчетности</t>
  </si>
  <si>
    <t>Инвентарь для уборки подъездов</t>
  </si>
  <si>
    <t>Установка уличного светильника (под.4)</t>
  </si>
  <si>
    <t>Замена кранов на цо (кв.33,34)</t>
  </si>
  <si>
    <t>Оплата административного штрафа (ГИС)</t>
  </si>
  <si>
    <t>Продление электронной подписи и лицензия на передачу отчетности 2022г.</t>
  </si>
  <si>
    <t>платежное поручене</t>
  </si>
  <si>
    <t>Единый налог в связи с примененем УСН за 2021 год</t>
  </si>
  <si>
    <t>Смена трубопровода канализации в подполье (кв.20)</t>
  </si>
  <si>
    <t>Замена светильников над входами в подъезды (под.1-4)</t>
  </si>
  <si>
    <t>Замена трубопровода канализации в техподполье</t>
  </si>
  <si>
    <t>Замена запорной арматуры</t>
  </si>
  <si>
    <t>Замена фрагмента трубы канализации (кв.77)</t>
  </si>
  <si>
    <t>Фасадная краска для субботника</t>
  </si>
  <si>
    <t>Смена труб канализации в подвале дома</t>
  </si>
  <si>
    <t>Замена КВШ и канатов на лифте (под.4)</t>
  </si>
  <si>
    <t>Ремонт платы в станции управления лифтом (под.1)</t>
  </si>
  <si>
    <t>Дезинсекция (под.4)</t>
  </si>
  <si>
    <t>Изготовление, покраска и монтаж газонного ограждения</t>
  </si>
  <si>
    <t>Замок врезной навесной, ручка -сбока</t>
  </si>
  <si>
    <t>5/1./2</t>
  </si>
  <si>
    <t>Замена крана ГВС в подвале дома</t>
  </si>
  <si>
    <t>Замена комплекта термопреобразователей</t>
  </si>
  <si>
    <t>Замена запорной арматурыи установка насоса на системе ГВС</t>
  </si>
  <si>
    <t>Монтаж перегородки газобетонной и двери металлической</t>
  </si>
  <si>
    <t>Грунт-эмаль по ржавчине для субботника</t>
  </si>
  <si>
    <t>2банки</t>
  </si>
  <si>
    <t>Смена ввода ХВС</t>
  </si>
  <si>
    <t>Услуги по проведению периодической поверки узла учета  тепловой энергии</t>
  </si>
  <si>
    <t>Ремонт отмостки по периметру за домом</t>
  </si>
  <si>
    <t>с учетом оплаты и выполненных работ по допуслугам по монтажу узла учета  тепловой энергии за 2020 год</t>
  </si>
  <si>
    <t>Возмещение расходов по аренде  нежилого помещения в подвале дома</t>
  </si>
  <si>
    <t xml:space="preserve">Установка насоса на системе ГВС в подвале дома </t>
  </si>
  <si>
    <t>Замена стекол (под.2)</t>
  </si>
  <si>
    <t>Бухгалтерские услуги</t>
  </si>
  <si>
    <t>Эмаль ПФ-115 белая</t>
  </si>
  <si>
    <t>Эмаль ПФ-115 голубая</t>
  </si>
  <si>
    <t>Эмаль ПФ-115 зеленая</t>
  </si>
  <si>
    <t>Замена лнолиума на лестничной площадке</t>
  </si>
  <si>
    <t>Оплата услуг по Соглашению об оказании юридической помощи</t>
  </si>
  <si>
    <t>Соглашение</t>
  </si>
  <si>
    <t>Поступило средств на текущий ремонт по решению суда от ответчика ООО "УК МЖД города Калуги"</t>
  </si>
  <si>
    <t xml:space="preserve">договор </t>
  </si>
  <si>
    <t>Замок навесной</t>
  </si>
  <si>
    <t>Ящик почтовый 5-ти секционный</t>
  </si>
  <si>
    <t>Игнайтер, сенсор пламени с прокладкой Пеннат</t>
  </si>
  <si>
    <t>Ремонт тамбуров и лестничных клеток 1 этажей под.1-4 (2020 год)</t>
  </si>
  <si>
    <t>1-ых этажей        1-4 подъездов</t>
  </si>
  <si>
    <t>Замена запорной арматуры на системе ХВС в подвале дома</t>
  </si>
  <si>
    <t>Замена крана на системе ГВС</t>
  </si>
  <si>
    <t>щт.</t>
  </si>
  <si>
    <t>Эмаль голубая ПФ-115</t>
  </si>
  <si>
    <t>Замена фрагмента трубы на системе ГВС в подвале дома</t>
  </si>
  <si>
    <t>Сигнализатор уровня токсичных газов</t>
  </si>
  <si>
    <t>1./1</t>
  </si>
  <si>
    <t>Обслуживание и ремонт крышной газовой котельной</t>
  </si>
  <si>
    <t>Реле низкого уровня воды Пенант, контролер рабочей температуры с ручкой</t>
  </si>
  <si>
    <t>Замена освещения в подъезде</t>
  </si>
  <si>
    <t>Секретный механизм</t>
  </si>
  <si>
    <t>Шланг армированный</t>
  </si>
  <si>
    <t>1.19.</t>
  </si>
  <si>
    <t>1.20.</t>
  </si>
  <si>
    <t>1.21.</t>
  </si>
  <si>
    <t>1.22.</t>
  </si>
  <si>
    <t>1.23.</t>
  </si>
  <si>
    <t>1.24.</t>
  </si>
  <si>
    <t>1.25.</t>
  </si>
  <si>
    <t>Замена ламп и автоматов в подъезде (под.1)</t>
  </si>
  <si>
    <t>Сердцевина замка</t>
  </si>
  <si>
    <t>Эмаль ПФ-115 желтая</t>
  </si>
  <si>
    <t>Установка шланга для полива (под.7)</t>
  </si>
  <si>
    <t>Замена участка трубы канализации (кв.29)</t>
  </si>
  <si>
    <t>Замена дворового освещения над подъездами</t>
  </si>
  <si>
    <t>Расширительный бак</t>
  </si>
  <si>
    <t>Содержание и обслуживание  крышной котельной</t>
  </si>
  <si>
    <t>Реле потока,преобразователь</t>
  </si>
  <si>
    <t>Грунт серый</t>
  </si>
  <si>
    <t>Грунт глубокого проникновения</t>
  </si>
  <si>
    <t>Краска акриловая воднодисперсная фасадная</t>
  </si>
  <si>
    <t>Замена запорной арматуры на цо в подвале дома</t>
  </si>
  <si>
    <t>Замена проводки в подвале дома</t>
  </si>
  <si>
    <t>Замена крана на системе цо</t>
  </si>
  <si>
    <t>Снос дерева</t>
  </si>
  <si>
    <t>Ремонт порога</t>
  </si>
  <si>
    <t>Порог</t>
  </si>
  <si>
    <t>Работа вышки для удаления сосулек и наледи</t>
  </si>
  <si>
    <t>Замена стекол</t>
  </si>
  <si>
    <t>Уборка древесных отходов</t>
  </si>
  <si>
    <t>Обрезка деревьев</t>
  </si>
  <si>
    <t>Переработка древесных отходов</t>
  </si>
  <si>
    <t>Устройство покрытия балконов (кв.29,65)</t>
  </si>
  <si>
    <t>Ремонт кровли (кв.14)</t>
  </si>
  <si>
    <t>Работа вышки по удалению сосулек и наледи</t>
  </si>
  <si>
    <t xml:space="preserve">Замена стекол </t>
  </si>
  <si>
    <t>Завоз земли</t>
  </si>
  <si>
    <t>Ремонт кровли (кв.60)</t>
  </si>
  <si>
    <t>Ремонт кровли лоджии</t>
  </si>
  <si>
    <t>Ремонт фасада</t>
  </si>
  <si>
    <t>Замена стекла</t>
  </si>
  <si>
    <t>Ремонт двери</t>
  </si>
  <si>
    <t>Снос деревьев</t>
  </si>
  <si>
    <t>Покраска газовых труб</t>
  </si>
  <si>
    <t>Откос</t>
  </si>
  <si>
    <t>Ремонт электропроводки в подвале</t>
  </si>
  <si>
    <t>Уборка мусора из подвала (1очередь)</t>
  </si>
  <si>
    <t>Уборка мусора из подвала (2очередь)</t>
  </si>
  <si>
    <t>Дренажные насосы</t>
  </si>
  <si>
    <t>Санитарнаяобрезка деревьев</t>
  </si>
  <si>
    <t>Обрезка свесов</t>
  </si>
  <si>
    <t>Краска</t>
  </si>
  <si>
    <t xml:space="preserve">Косметический ремонт подъездов </t>
  </si>
  <si>
    <t>Ремонт стяжки</t>
  </si>
  <si>
    <t>Замена входов в подвал</t>
  </si>
  <si>
    <t>Замена колпаков</t>
  </si>
  <si>
    <t>Пропорциональный дозатор</t>
  </si>
  <si>
    <t>Соединение 16</t>
  </si>
  <si>
    <t>Соединение</t>
  </si>
  <si>
    <t>Остаток средств на проведение текущего ремонта (вместе с расходами по обслуживанию  крышной котельной) по состоянию на 31.01.2022 г.</t>
  </si>
  <si>
    <t>Остаток средств на проведение текущего ремонта (вместе с расходами по обслуживанию  крышной котельной) по состоянию на 31.01.2021 г.</t>
  </si>
  <si>
    <t>2.5.</t>
  </si>
  <si>
    <t>2.6.</t>
  </si>
  <si>
    <t>2.7.</t>
  </si>
  <si>
    <t>2.8.</t>
  </si>
  <si>
    <t>2.9.</t>
  </si>
  <si>
    <t>2.10.</t>
  </si>
  <si>
    <t>Бак мембранный для отопления</t>
  </si>
  <si>
    <t>Затвор поворотный дисковый</t>
  </si>
  <si>
    <t>Подводка для воды</t>
  </si>
  <si>
    <t>Заслонка воздушная</t>
  </si>
  <si>
    <t>Воздухоотводчик</t>
  </si>
  <si>
    <t>Остаток средств на содержание и обслуживание крышной котельной по  состоянию на 31.01.21 г.</t>
  </si>
  <si>
    <t>Остаток средств на содержание и обслуживание крышной котельной по  состоянию на 01.01.21 г.</t>
  </si>
  <si>
    <t>Ремонт кровли (кв.270)</t>
  </si>
  <si>
    <t>Замена трубы на системе ХВС в подвале дома</t>
  </si>
  <si>
    <t>Замена трубы на системе ХВС (кв.8)</t>
  </si>
  <si>
    <t>Остаток средств на содержание и обслуживание крышной котельной по  состоянию на 31.01.22 г.</t>
  </si>
  <si>
    <t>Промывка ВКС</t>
  </si>
  <si>
    <t>Аванс на изготовление и установку металлического забора с автоматическими воротами</t>
  </si>
  <si>
    <t>Промывка ВКХ</t>
  </si>
  <si>
    <t>Окна</t>
  </si>
  <si>
    <t>Ремонт выхода на кровлю</t>
  </si>
  <si>
    <t>Замена участка ХВС</t>
  </si>
  <si>
    <t>Работа вышки по по удалению сосулек и наледи</t>
  </si>
  <si>
    <t>Ремонт порога (под.4)</t>
  </si>
  <si>
    <t>Утепление вентшахты</t>
  </si>
  <si>
    <t>Ремонт деформационного шва</t>
  </si>
  <si>
    <t>Промывув ВКС</t>
  </si>
  <si>
    <t>Краска, кисти</t>
  </si>
  <si>
    <t>Ремонт кровли над входами в подвал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</si>
</sst>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0000"/>
    <numFmt numFmtId="166" formatCode="#,##0.000"/>
    <numFmt numFmtId="167" formatCode="#,##0.00000"/>
    <numFmt numFmtId="168" formatCode="#,##0.0000"/>
    <numFmt numFmtId="169" formatCode="0.000"/>
    <numFmt numFmtId="170" formatCode="#,##0.000_р_."/>
    <numFmt numFmtId="171" formatCode="0.0"/>
    <numFmt numFmtId="172" formatCode="#,##0.0000_р_."/>
    <numFmt numFmtId="173" formatCode="0.000000"/>
    <numFmt numFmtId="174" formatCode="0.00000"/>
    <numFmt numFmtId="175" formatCode="0.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u val="single"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3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0" xfId="0" applyFont="1" applyAlignment="1">
      <alignment vertical="top"/>
    </xf>
    <xf numFmtId="16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4" fontId="11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164" fontId="11" fillId="0" borderId="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wrapText="1"/>
    </xf>
    <xf numFmtId="0" fontId="13" fillId="33" borderId="0" xfId="0" applyFont="1" applyFill="1" applyAlignment="1">
      <alignment wrapText="1"/>
    </xf>
    <xf numFmtId="0" fontId="14" fillId="33" borderId="0" xfId="0" applyFont="1" applyFill="1" applyAlignment="1">
      <alignment/>
    </xf>
    <xf numFmtId="4" fontId="11" fillId="33" borderId="10" xfId="0" applyNumberFormat="1" applyFont="1" applyFill="1" applyBorder="1" applyAlignment="1">
      <alignment horizontal="left" wrapText="1"/>
    </xf>
    <xf numFmtId="164" fontId="75" fillId="34" borderId="11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left" wrapText="1"/>
    </xf>
    <xf numFmtId="4" fontId="16" fillId="0" borderId="10" xfId="0" applyNumberFormat="1" applyFont="1" applyFill="1" applyBorder="1" applyAlignment="1">
      <alignment wrapText="1"/>
    </xf>
    <xf numFmtId="164" fontId="11" fillId="3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1" fillId="35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164" fontId="11" fillId="34" borderId="1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 horizontal="left"/>
    </xf>
    <xf numFmtId="16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164" fontId="16" fillId="0" borderId="11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wrapText="1"/>
    </xf>
    <xf numFmtId="4" fontId="11" fillId="0" borderId="0" xfId="0" applyNumberFormat="1" applyFont="1" applyAlignment="1">
      <alignment/>
    </xf>
    <xf numFmtId="0" fontId="16" fillId="0" borderId="0" xfId="0" applyFont="1" applyAlignment="1">
      <alignment/>
    </xf>
    <xf numFmtId="2" fontId="11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4" fontId="11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wrapText="1"/>
    </xf>
    <xf numFmtId="4" fontId="11" fillId="33" borderId="10" xfId="0" applyNumberFormat="1" applyFont="1" applyFill="1" applyBorder="1" applyAlignment="1">
      <alignment wrapText="1"/>
    </xf>
    <xf numFmtId="0" fontId="15" fillId="34" borderId="10" xfId="0" applyFont="1" applyFill="1" applyBorder="1" applyAlignment="1">
      <alignment wrapText="1"/>
    </xf>
    <xf numFmtId="4" fontId="15" fillId="34" borderId="10" xfId="0" applyNumberFormat="1" applyFont="1" applyFill="1" applyBorder="1" applyAlignment="1">
      <alignment wrapText="1"/>
    </xf>
    <xf numFmtId="0" fontId="16" fillId="34" borderId="0" xfId="0" applyFont="1" applyFill="1" applyAlignment="1">
      <alignment wrapText="1"/>
    </xf>
    <xf numFmtId="0" fontId="11" fillId="34" borderId="0" xfId="0" applyFont="1" applyFill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4" fontId="11" fillId="0" borderId="0" xfId="0" applyNumberFormat="1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center" wrapText="1"/>
    </xf>
    <xf numFmtId="4" fontId="16" fillId="34" borderId="1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Alignment="1">
      <alignment wrapText="1"/>
    </xf>
    <xf numFmtId="4" fontId="16" fillId="0" borderId="10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4" fontId="11" fillId="0" borderId="1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2" fontId="20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4" fontId="15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4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164" fontId="22" fillId="0" borderId="10" xfId="0" applyNumberFormat="1" applyFont="1" applyBorder="1" applyAlignment="1">
      <alignment horizontal="center" wrapText="1"/>
    </xf>
    <xf numFmtId="164" fontId="22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164" fontId="11" fillId="0" borderId="15" xfId="0" applyNumberFormat="1" applyFont="1" applyBorder="1" applyAlignment="1">
      <alignment horizontal="left" wrapText="1"/>
    </xf>
    <xf numFmtId="164" fontId="11" fillId="0" borderId="14" xfId="0" applyNumberFormat="1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/>
    </xf>
    <xf numFmtId="170" fontId="11" fillId="0" borderId="10" xfId="0" applyNumberFormat="1" applyFont="1" applyBorder="1" applyAlignment="1">
      <alignment horizontal="center" wrapText="1"/>
    </xf>
    <xf numFmtId="164" fontId="11" fillId="0" borderId="15" xfId="0" applyNumberFormat="1" applyFont="1" applyFill="1" applyBorder="1" applyAlignment="1">
      <alignment horizontal="left" wrapText="1"/>
    </xf>
    <xf numFmtId="164" fontId="11" fillId="0" borderId="14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23" fillId="0" borderId="0" xfId="0" applyFont="1" applyAlignment="1">
      <alignment/>
    </xf>
    <xf numFmtId="0" fontId="18" fillId="0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6" fillId="3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right" vertical="center" wrapText="1"/>
    </xf>
    <xf numFmtId="4" fontId="16" fillId="33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164" fontId="11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20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164" fontId="11" fillId="0" borderId="15" xfId="0" applyNumberFormat="1" applyFont="1" applyBorder="1" applyAlignment="1">
      <alignment wrapText="1"/>
    </xf>
    <xf numFmtId="164" fontId="11" fillId="0" borderId="16" xfId="0" applyNumberFormat="1" applyFont="1" applyBorder="1" applyAlignment="1">
      <alignment wrapText="1"/>
    </xf>
    <xf numFmtId="164" fontId="11" fillId="0" borderId="14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wrapText="1"/>
    </xf>
    <xf numFmtId="4" fontId="23" fillId="0" borderId="0" xfId="0" applyNumberFormat="1" applyFont="1" applyAlignment="1">
      <alignment/>
    </xf>
    <xf numFmtId="4" fontId="11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left"/>
    </xf>
    <xf numFmtId="4" fontId="16" fillId="0" borderId="13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4" fontId="18" fillId="0" borderId="0" xfId="0" applyNumberFormat="1" applyFont="1" applyAlignment="1">
      <alignment vertical="top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164" fontId="11" fillId="0" borderId="1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left" wrapText="1"/>
    </xf>
    <xf numFmtId="164" fontId="18" fillId="0" borderId="0" xfId="0" applyNumberFormat="1" applyFont="1" applyBorder="1" applyAlignment="1">
      <alignment horizontal="center"/>
    </xf>
    <xf numFmtId="4" fontId="15" fillId="0" borderId="0" xfId="0" applyNumberFormat="1" applyFont="1" applyAlignment="1">
      <alignment wrapText="1"/>
    </xf>
    <xf numFmtId="164" fontId="11" fillId="0" borderId="15" xfId="0" applyNumberFormat="1" applyFont="1" applyFill="1" applyBorder="1" applyAlignment="1">
      <alignment wrapText="1"/>
    </xf>
    <xf numFmtId="164" fontId="11" fillId="0" borderId="16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16" fontId="16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left" wrapText="1"/>
    </xf>
    <xf numFmtId="166" fontId="11" fillId="0" borderId="1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4" fontId="15" fillId="33" borderId="10" xfId="0" applyNumberFormat="1" applyFont="1" applyFill="1" applyBorder="1" applyAlignment="1">
      <alignment wrapText="1"/>
    </xf>
    <xf numFmtId="172" fontId="11" fillId="0" borderId="10" xfId="0" applyNumberFormat="1" applyFont="1" applyBorder="1" applyAlignment="1">
      <alignment horizontal="center" wrapText="1"/>
    </xf>
    <xf numFmtId="0" fontId="13" fillId="35" borderId="0" xfId="0" applyFont="1" applyFill="1" applyAlignment="1">
      <alignment/>
    </xf>
    <xf numFmtId="4" fontId="16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35" borderId="0" xfId="0" applyFont="1" applyFill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1" fillId="0" borderId="10" xfId="0" applyNumberFormat="1" applyFont="1" applyBorder="1" applyAlignment="1">
      <alignment horizontal="center" wrapText="1"/>
    </xf>
    <xf numFmtId="2" fontId="13" fillId="0" borderId="0" xfId="0" applyNumberFormat="1" applyFont="1" applyAlignment="1">
      <alignment/>
    </xf>
    <xf numFmtId="168" fontId="11" fillId="0" borderId="10" xfId="0" applyNumberFormat="1" applyFont="1" applyBorder="1" applyAlignment="1">
      <alignment horizontal="center" wrapText="1"/>
    </xf>
    <xf numFmtId="4" fontId="13" fillId="33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164" fontId="11" fillId="0" borderId="0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right" wrapText="1"/>
    </xf>
    <xf numFmtId="4" fontId="11" fillId="0" borderId="0" xfId="0" applyNumberFormat="1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64" fontId="11" fillId="34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169" fontId="13" fillId="0" borderId="0" xfId="0" applyNumberFormat="1" applyFont="1" applyAlignment="1">
      <alignment wrapText="1"/>
    </xf>
    <xf numFmtId="0" fontId="16" fillId="0" borderId="10" xfId="0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2" fontId="13" fillId="35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16" fillId="0" borderId="10" xfId="0" applyFont="1" applyFill="1" applyBorder="1" applyAlignment="1">
      <alignment horizontal="left" wrapText="1"/>
    </xf>
    <xf numFmtId="4" fontId="17" fillId="0" borderId="0" xfId="0" applyNumberFormat="1" applyFont="1" applyAlignment="1">
      <alignment horizontal="center"/>
    </xf>
    <xf numFmtId="4" fontId="46" fillId="0" borderId="0" xfId="0" applyNumberFormat="1" applyFont="1" applyAlignment="1">
      <alignment/>
    </xf>
    <xf numFmtId="0" fontId="13" fillId="0" borderId="1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4" fontId="13" fillId="0" borderId="1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0" fontId="16" fillId="0" borderId="18" xfId="0" applyFont="1" applyBorder="1" applyAlignment="1">
      <alignment horizontal="left"/>
    </xf>
    <xf numFmtId="4" fontId="15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" fontId="11" fillId="35" borderId="0" xfId="0" applyNumberFormat="1" applyFont="1" applyFill="1" applyAlignment="1">
      <alignment/>
    </xf>
    <xf numFmtId="0" fontId="16" fillId="0" borderId="16" xfId="0" applyFont="1" applyBorder="1" applyAlignment="1">
      <alignment vertical="center" wrapText="1"/>
    </xf>
    <xf numFmtId="0" fontId="21" fillId="0" borderId="14" xfId="0" applyFont="1" applyBorder="1" applyAlignment="1">
      <alignment/>
    </xf>
    <xf numFmtId="164" fontId="22" fillId="0" borderId="16" xfId="0" applyNumberFormat="1" applyFont="1" applyBorder="1" applyAlignment="1">
      <alignment wrapText="1"/>
    </xf>
    <xf numFmtId="0" fontId="14" fillId="0" borderId="14" xfId="0" applyFont="1" applyBorder="1" applyAlignment="1">
      <alignment/>
    </xf>
    <xf numFmtId="164" fontId="11" fillId="0" borderId="16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16" fontId="13" fillId="0" borderId="10" xfId="0" applyNumberFormat="1" applyFont="1" applyBorder="1" applyAlignment="1">
      <alignment wrapText="1"/>
    </xf>
    <xf numFmtId="0" fontId="16" fillId="33" borderId="0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164" fontId="11" fillId="33" borderId="13" xfId="0" applyNumberFormat="1" applyFont="1" applyFill="1" applyBorder="1" applyAlignment="1">
      <alignment/>
    </xf>
    <xf numFmtId="4" fontId="11" fillId="34" borderId="0" xfId="0" applyNumberFormat="1" applyFont="1" applyFill="1" applyAlignment="1">
      <alignment wrapText="1"/>
    </xf>
    <xf numFmtId="169" fontId="11" fillId="0" borderId="0" xfId="0" applyNumberFormat="1" applyFont="1" applyAlignment="1">
      <alignment/>
    </xf>
    <xf numFmtId="164" fontId="11" fillId="0" borderId="0" xfId="0" applyNumberFormat="1" applyFont="1" applyFill="1" applyBorder="1" applyAlignment="1">
      <alignment wrapText="1"/>
    </xf>
    <xf numFmtId="4" fontId="15" fillId="34" borderId="10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/>
    </xf>
    <xf numFmtId="4" fontId="16" fillId="34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4" fontId="13" fillId="33" borderId="10" xfId="0" applyNumberFormat="1" applyFont="1" applyFill="1" applyBorder="1" applyAlignment="1">
      <alignment/>
    </xf>
    <xf numFmtId="4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164" fontId="11" fillId="34" borderId="19" xfId="0" applyNumberFormat="1" applyFont="1" applyFill="1" applyBorder="1" applyAlignment="1">
      <alignment/>
    </xf>
    <xf numFmtId="0" fontId="11" fillId="33" borderId="0" xfId="0" applyFont="1" applyFill="1" applyAlignment="1">
      <alignment wrapText="1"/>
    </xf>
    <xf numFmtId="0" fontId="17" fillId="35" borderId="0" xfId="0" applyFont="1" applyFill="1" applyAlignment="1">
      <alignment/>
    </xf>
    <xf numFmtId="167" fontId="16" fillId="0" borderId="10" xfId="0" applyNumberFormat="1" applyFont="1" applyBorder="1" applyAlignment="1">
      <alignment wrapText="1"/>
    </xf>
    <xf numFmtId="164" fontId="16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22" fillId="0" borderId="10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164" fontId="11" fillId="0" borderId="11" xfId="0" applyNumberFormat="1" applyFont="1" applyFill="1" applyBorder="1" applyAlignment="1">
      <alignment/>
    </xf>
    <xf numFmtId="0" fontId="2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/>
    </xf>
    <xf numFmtId="4" fontId="75" fillId="0" borderId="10" xfId="0" applyNumberFormat="1" applyFont="1" applyBorder="1" applyAlignment="1">
      <alignment horizontal="right" vertical="center" wrapText="1"/>
    </xf>
    <xf numFmtId="4" fontId="75" fillId="33" borderId="10" xfId="0" applyNumberFormat="1" applyFont="1" applyFill="1" applyBorder="1" applyAlignment="1">
      <alignment horizontal="right" vertical="center" wrapText="1"/>
    </xf>
    <xf numFmtId="4" fontId="76" fillId="0" borderId="10" xfId="0" applyNumberFormat="1" applyFont="1" applyBorder="1" applyAlignment="1">
      <alignment wrapText="1"/>
    </xf>
    <xf numFmtId="4" fontId="16" fillId="0" borderId="0" xfId="0" applyNumberFormat="1" applyFont="1" applyAlignment="1">
      <alignment wrapText="1"/>
    </xf>
    <xf numFmtId="4" fontId="76" fillId="34" borderId="10" xfId="0" applyNumberFormat="1" applyFont="1" applyFill="1" applyBorder="1" applyAlignment="1">
      <alignment wrapText="1"/>
    </xf>
    <xf numFmtId="4" fontId="76" fillId="0" borderId="0" xfId="0" applyNumberFormat="1" applyFont="1" applyBorder="1" applyAlignment="1">
      <alignment wrapText="1"/>
    </xf>
    <xf numFmtId="0" fontId="77" fillId="0" borderId="0" xfId="0" applyFont="1" applyAlignment="1">
      <alignment/>
    </xf>
    <xf numFmtId="16" fontId="16" fillId="0" borderId="14" xfId="0" applyNumberFormat="1" applyFont="1" applyBorder="1" applyAlignment="1">
      <alignment wrapText="1"/>
    </xf>
    <xf numFmtId="4" fontId="75" fillId="33" borderId="10" xfId="0" applyNumberFormat="1" applyFont="1" applyFill="1" applyBorder="1" applyAlignment="1">
      <alignment horizontal="right" wrapText="1"/>
    </xf>
    <xf numFmtId="0" fontId="78" fillId="0" borderId="10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77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Alignment="1">
      <alignment/>
    </xf>
    <xf numFmtId="0" fontId="75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16" fillId="35" borderId="0" xfId="0" applyFont="1" applyFill="1" applyAlignment="1">
      <alignment/>
    </xf>
    <xf numFmtId="2" fontId="16" fillId="0" borderId="0" xfId="0" applyNumberFormat="1" applyFont="1" applyAlignment="1">
      <alignment horizontal="center" vertical="center" wrapText="1"/>
    </xf>
    <xf numFmtId="164" fontId="16" fillId="34" borderId="11" xfId="0" applyNumberFormat="1" applyFont="1" applyFill="1" applyBorder="1" applyAlignment="1">
      <alignment/>
    </xf>
    <xf numFmtId="164" fontId="16" fillId="0" borderId="11" xfId="0" applyNumberFormat="1" applyFont="1" applyBorder="1" applyAlignment="1">
      <alignment/>
    </xf>
    <xf numFmtId="0" fontId="15" fillId="35" borderId="0" xfId="0" applyFont="1" applyFill="1" applyAlignment="1">
      <alignment/>
    </xf>
    <xf numFmtId="0" fontId="78" fillId="0" borderId="10" xfId="0" applyFont="1" applyBorder="1" applyAlignment="1">
      <alignment wrapText="1"/>
    </xf>
    <xf numFmtId="2" fontId="76" fillId="0" borderId="10" xfId="0" applyNumberFormat="1" applyFont="1" applyBorder="1" applyAlignment="1">
      <alignment/>
    </xf>
    <xf numFmtId="0" fontId="76" fillId="0" borderId="10" xfId="0" applyFont="1" applyBorder="1" applyAlignment="1">
      <alignment/>
    </xf>
    <xf numFmtId="4" fontId="80" fillId="0" borderId="10" xfId="0" applyNumberFormat="1" applyFont="1" applyBorder="1" applyAlignment="1">
      <alignment wrapText="1"/>
    </xf>
    <xf numFmtId="0" fontId="78" fillId="33" borderId="10" xfId="0" applyFont="1" applyFill="1" applyBorder="1" applyAlignment="1">
      <alignment horizontal="center" vertical="center"/>
    </xf>
    <xf numFmtId="164" fontId="75" fillId="33" borderId="10" xfId="0" applyNumberFormat="1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164" fontId="75" fillId="0" borderId="10" xfId="0" applyNumberFormat="1" applyFont="1" applyFill="1" applyBorder="1" applyAlignment="1">
      <alignment horizontal="center" vertical="center"/>
    </xf>
    <xf numFmtId="4" fontId="76" fillId="0" borderId="10" xfId="0" applyNumberFormat="1" applyFont="1" applyBorder="1" applyAlignment="1">
      <alignment/>
    </xf>
    <xf numFmtId="0" fontId="76" fillId="0" borderId="10" xfId="0" applyFont="1" applyFill="1" applyBorder="1" applyAlignment="1">
      <alignment/>
    </xf>
    <xf numFmtId="0" fontId="14" fillId="0" borderId="0" xfId="0" applyFont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1" fillId="0" borderId="0" xfId="0" applyFont="1" applyBorder="1" applyAlignment="1">
      <alignment horizontal="center" wrapText="1"/>
    </xf>
    <xf numFmtId="2" fontId="81" fillId="0" borderId="0" xfId="0" applyNumberFormat="1" applyFont="1" applyBorder="1" applyAlignment="1">
      <alignment wrapText="1"/>
    </xf>
    <xf numFmtId="0" fontId="26" fillId="35" borderId="0" xfId="0" applyFont="1" applyFill="1" applyAlignment="1">
      <alignment horizontal="center"/>
    </xf>
    <xf numFmtId="0" fontId="16" fillId="35" borderId="0" xfId="0" applyFont="1" applyFill="1" applyBorder="1" applyAlignment="1">
      <alignment horizontal="center"/>
    </xf>
    <xf numFmtId="164" fontId="75" fillId="33" borderId="0" xfId="0" applyNumberFormat="1" applyFont="1" applyFill="1" applyBorder="1" applyAlignment="1">
      <alignment horizontal="center" vertical="center"/>
    </xf>
    <xf numFmtId="164" fontId="75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wrapText="1"/>
    </xf>
    <xf numFmtId="0" fontId="16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/>
    </xf>
    <xf numFmtId="2" fontId="16" fillId="35" borderId="0" xfId="0" applyNumberFormat="1" applyFont="1" applyFill="1" applyBorder="1" applyAlignment="1">
      <alignment wrapText="1"/>
    </xf>
    <xf numFmtId="0" fontId="78" fillId="0" borderId="0" xfId="0" applyFont="1" applyBorder="1" applyAlignment="1">
      <alignment horizontal="left"/>
    </xf>
    <xf numFmtId="164" fontId="7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8" fillId="0" borderId="10" xfId="0" applyFont="1" applyFill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164" fontId="11" fillId="0" borderId="15" xfId="0" applyNumberFormat="1" applyFont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wrapText="1"/>
    </xf>
    <xf numFmtId="2" fontId="78" fillId="0" borderId="10" xfId="0" applyNumberFormat="1" applyFont="1" applyBorder="1" applyAlignment="1">
      <alignment wrapText="1"/>
    </xf>
    <xf numFmtId="4" fontId="78" fillId="33" borderId="10" xfId="0" applyNumberFormat="1" applyFont="1" applyFill="1" applyBorder="1" applyAlignment="1">
      <alignment wrapText="1"/>
    </xf>
    <xf numFmtId="4" fontId="78" fillId="0" borderId="10" xfId="0" applyNumberFormat="1" applyFont="1" applyBorder="1" applyAlignment="1">
      <alignment wrapText="1"/>
    </xf>
    <xf numFmtId="4" fontId="78" fillId="0" borderId="10" xfId="0" applyNumberFormat="1" applyFont="1" applyFill="1" applyBorder="1" applyAlignment="1">
      <alignment wrapText="1"/>
    </xf>
    <xf numFmtId="0" fontId="82" fillId="0" borderId="10" xfId="0" applyFont="1" applyBorder="1" applyAlignment="1">
      <alignment horizontal="center" wrapText="1"/>
    </xf>
    <xf numFmtId="164" fontId="11" fillId="0" borderId="10" xfId="0" applyNumberFormat="1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164" fontId="16" fillId="0" borderId="10" xfId="0" applyNumberFormat="1" applyFont="1" applyBorder="1" applyAlignment="1">
      <alignment horizontal="left" wrapText="1"/>
    </xf>
    <xf numFmtId="164" fontId="16" fillId="0" borderId="14" xfId="0" applyNumberFormat="1" applyFont="1" applyBorder="1" applyAlignment="1">
      <alignment horizontal="right" wrapText="1"/>
    </xf>
    <xf numFmtId="0" fontId="16" fillId="0" borderId="2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164" fontId="11" fillId="0" borderId="15" xfId="0" applyNumberFormat="1" applyFont="1" applyBorder="1" applyAlignment="1">
      <alignment horizontal="left" wrapText="1"/>
    </xf>
    <xf numFmtId="164" fontId="11" fillId="0" borderId="16" xfId="0" applyNumberFormat="1" applyFont="1" applyBorder="1" applyAlignment="1">
      <alignment horizontal="left" wrapText="1"/>
    </xf>
    <xf numFmtId="164" fontId="11" fillId="0" borderId="14" xfId="0" applyNumberFormat="1" applyFont="1" applyBorder="1" applyAlignment="1">
      <alignment horizontal="left"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164" fontId="11" fillId="0" borderId="16" xfId="0" applyNumberFormat="1" applyFont="1" applyBorder="1" applyAlignment="1">
      <alignment wrapText="1"/>
    </xf>
    <xf numFmtId="164" fontId="11" fillId="0" borderId="14" xfId="0" applyNumberFormat="1" applyFont="1" applyBorder="1" applyAlignment="1">
      <alignment wrapText="1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4" fontId="11" fillId="0" borderId="15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0" fontId="1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4" fontId="18" fillId="0" borderId="10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wrapText="1"/>
    </xf>
    <xf numFmtId="4" fontId="14" fillId="0" borderId="14" xfId="0" applyNumberFormat="1" applyFont="1" applyBorder="1" applyAlignment="1">
      <alignment/>
    </xf>
    <xf numFmtId="164" fontId="11" fillId="0" borderId="15" xfId="0" applyNumberFormat="1" applyFont="1" applyFill="1" applyBorder="1" applyAlignment="1">
      <alignment horizontal="left" wrapText="1"/>
    </xf>
    <xf numFmtId="164" fontId="11" fillId="0" borderId="14" xfId="0" applyNumberFormat="1" applyFont="1" applyFill="1" applyBorder="1" applyAlignment="1">
      <alignment horizontal="left" wrapText="1"/>
    </xf>
    <xf numFmtId="164" fontId="18" fillId="0" borderId="10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 wrapText="1"/>
    </xf>
    <xf numFmtId="164" fontId="18" fillId="0" borderId="10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wrapText="1"/>
    </xf>
    <xf numFmtId="164" fontId="22" fillId="0" borderId="15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164" fontId="18" fillId="0" borderId="15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164" fontId="11" fillId="0" borderId="15" xfId="0" applyNumberFormat="1" applyFont="1" applyFill="1" applyBorder="1" applyAlignment="1">
      <alignment wrapText="1"/>
    </xf>
    <xf numFmtId="164" fontId="11" fillId="0" borderId="14" xfId="0" applyNumberFormat="1" applyFont="1" applyFill="1" applyBorder="1" applyAlignment="1">
      <alignment wrapText="1"/>
    </xf>
    <xf numFmtId="164" fontId="11" fillId="0" borderId="15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75" fillId="0" borderId="23" xfId="0" applyFont="1" applyBorder="1" applyAlignment="1">
      <alignment horizontal="left" wrapText="1"/>
    </xf>
    <xf numFmtId="0" fontId="73" fillId="0" borderId="23" xfId="0" applyFont="1" applyBorder="1" applyAlignment="1">
      <alignment horizontal="left" wrapText="1"/>
    </xf>
    <xf numFmtId="0" fontId="78" fillId="0" borderId="24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4" fillId="0" borderId="14" xfId="0" applyFont="1" applyBorder="1" applyAlignment="1">
      <alignment horizontal="left" vertical="center" wrapText="1"/>
    </xf>
    <xf numFmtId="164" fontId="11" fillId="0" borderId="10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center" wrapText="1"/>
    </xf>
    <xf numFmtId="0" fontId="21" fillId="0" borderId="14" xfId="0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164" fontId="18" fillId="0" borderId="15" xfId="0" applyNumberFormat="1" applyFont="1" applyFill="1" applyBorder="1" applyAlignment="1">
      <alignment horizontal="center"/>
    </xf>
    <xf numFmtId="164" fontId="18" fillId="0" borderId="14" xfId="0" applyNumberFormat="1" applyFont="1" applyFill="1" applyBorder="1" applyAlignment="1">
      <alignment horizontal="center"/>
    </xf>
    <xf numFmtId="0" fontId="13" fillId="35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164" fontId="13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64" fontId="8" fillId="0" borderId="15" xfId="0" applyNumberFormat="1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left" wrapText="1"/>
    </xf>
    <xf numFmtId="164" fontId="6" fillId="0" borderId="16" xfId="0" applyNumberFormat="1" applyFont="1" applyBorder="1" applyAlignment="1">
      <alignment horizontal="left" wrapText="1"/>
    </xf>
    <xf numFmtId="164" fontId="6" fillId="0" borderId="14" xfId="0" applyNumberFormat="1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center"/>
    </xf>
    <xf numFmtId="0" fontId="14" fillId="0" borderId="14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/>
    </xf>
    <xf numFmtId="0" fontId="14" fillId="0" borderId="17" xfId="0" applyFont="1" applyBorder="1" applyAlignment="1">
      <alignment horizontal="center" wrapText="1"/>
    </xf>
    <xf numFmtId="164" fontId="11" fillId="0" borderId="16" xfId="0" applyNumberFormat="1" applyFont="1" applyFill="1" applyBorder="1" applyAlignment="1">
      <alignment horizontal="left" wrapText="1"/>
    </xf>
    <xf numFmtId="164" fontId="22" fillId="0" borderId="15" xfId="0" applyNumberFormat="1" applyFont="1" applyBorder="1" applyAlignment="1">
      <alignment horizontal="left" wrapText="1"/>
    </xf>
    <xf numFmtId="164" fontId="22" fillId="0" borderId="16" xfId="0" applyNumberFormat="1" applyFont="1" applyBorder="1" applyAlignment="1">
      <alignment horizontal="left" wrapText="1"/>
    </xf>
    <xf numFmtId="164" fontId="75" fillId="0" borderId="15" xfId="0" applyNumberFormat="1" applyFont="1" applyBorder="1" applyAlignment="1">
      <alignment horizontal="left" wrapText="1"/>
    </xf>
    <xf numFmtId="164" fontId="75" fillId="0" borderId="16" xfId="0" applyNumberFormat="1" applyFont="1" applyBorder="1" applyAlignment="1">
      <alignment horizontal="left" wrapText="1"/>
    </xf>
    <xf numFmtId="164" fontId="83" fillId="0" borderId="15" xfId="0" applyNumberFormat="1" applyFont="1" applyBorder="1" applyAlignment="1">
      <alignment horizontal="center"/>
    </xf>
    <xf numFmtId="164" fontId="83" fillId="0" borderId="14" xfId="0" applyNumberFormat="1" applyFont="1" applyBorder="1" applyAlignment="1">
      <alignment horizontal="center"/>
    </xf>
    <xf numFmtId="164" fontId="83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16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164" fontId="22" fillId="0" borderId="14" xfId="0" applyNumberFormat="1" applyFont="1" applyBorder="1" applyAlignment="1">
      <alignment horizontal="left" wrapText="1"/>
    </xf>
    <xf numFmtId="164" fontId="22" fillId="0" borderId="15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0" fontId="78" fillId="0" borderId="0" xfId="0" applyFont="1" applyBorder="1" applyAlignment="1">
      <alignment horizontal="left"/>
    </xf>
    <xf numFmtId="164" fontId="22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7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164" fontId="18" fillId="0" borderId="24" xfId="0" applyNumberFormat="1" applyFont="1" applyBorder="1" applyAlignment="1">
      <alignment horizontal="center"/>
    </xf>
    <xf numFmtId="164" fontId="18" fillId="0" borderId="25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64" fontId="16" fillId="0" borderId="15" xfId="0" applyNumberFormat="1" applyFont="1" applyBorder="1" applyAlignment="1">
      <alignment horizontal="left" wrapText="1"/>
    </xf>
    <xf numFmtId="164" fontId="16" fillId="0" borderId="14" xfId="0" applyNumberFormat="1" applyFont="1" applyBorder="1" applyAlignment="1">
      <alignment horizontal="left" wrapText="1"/>
    </xf>
    <xf numFmtId="164" fontId="24" fillId="0" borderId="15" xfId="0" applyNumberFormat="1" applyFont="1" applyBorder="1" applyAlignment="1">
      <alignment horizontal="center"/>
    </xf>
    <xf numFmtId="164" fontId="24" fillId="0" borderId="14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29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/>
    </xf>
    <xf numFmtId="164" fontId="11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/>
    </xf>
    <xf numFmtId="164" fontId="11" fillId="0" borderId="0" xfId="0" applyNumberFormat="1" applyFont="1" applyFill="1" applyBorder="1" applyAlignment="1">
      <alignment horizontal="left" wrapText="1"/>
    </xf>
    <xf numFmtId="164" fontId="18" fillId="0" borderId="0" xfId="0" applyNumberFormat="1" applyFont="1" applyFill="1" applyBorder="1" applyAlignment="1">
      <alignment horizontal="center"/>
    </xf>
    <xf numFmtId="0" fontId="84" fillId="0" borderId="14" xfId="0" applyFont="1" applyBorder="1" applyAlignment="1">
      <alignment wrapText="1"/>
    </xf>
    <xf numFmtId="0" fontId="13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164" fontId="75" fillId="0" borderId="14" xfId="0" applyNumberFormat="1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styles" Target="styles.xml" /><Relationship Id="rId107" Type="http://schemas.openxmlformats.org/officeDocument/2006/relationships/sharedStrings" Target="sharedStrings.xml" /><Relationship Id="rId108" Type="http://schemas.openxmlformats.org/officeDocument/2006/relationships/externalLink" Target="externalLinks/externalLink1.xml" /><Relationship Id="rId109" Type="http://schemas.openxmlformats.org/officeDocument/2006/relationships/externalLink" Target="externalLinks/externalLink2.xml" /><Relationship Id="rId110" Type="http://schemas.openxmlformats.org/officeDocument/2006/relationships/externalLink" Target="externalLinks/externalLink3.xml" /><Relationship Id="rId1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9533\Desktop\&#1054;&#1054;&#1054;%20&#1058;&#1077;&#1093;&#1085;&#1086;%20&#1056;%202021\&#1060;&#1080;&#1085;&#1072;&#1085;&#1089;&#1086;&#1074;&#1099;&#1077;%20&#1086;&#1090;&#1095;&#1077;&#1090;&#1099;%20&#1054;&#1054;&#1054;%20&#1058;&#1077;&#1093;&#1085;&#1086;%20&#1056;%202021\&#1054;&#1090;&#1095;&#1077;&#1090;%20&#1087;&#1086;%20&#1076;&#1086;&#1084;&#1072;&#1084;%20&#1079;&#1072;%202020&#1075;%20&#1076;&#1083;&#1103;%20&#1088;&#1072;&#1079;&#1084;&#1077;&#1097;&#1077;&#1085;&#1080;&#1103;%20&#1085;&#1072;%20&#1089;&#1072;&#1081;&#109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9533\AppData\Roaming\Microsoft\Excel\&#1054;&#1090;&#1095;&#1077;&#1090;%20&#1087;&#1086;%20&#1076;&#1086;&#1084;&#1072;&#1084;%20&#1079;&#1072;%202020&#1075;%20&#1076;&#1083;&#1103;%20&#1088;&#1072;&#1079;&#1084;&#1077;&#1097;&#1077;&#1085;&#1080;&#1103;%20&#1085;&#1072;%20&#1089;&#1072;&#1081;&#1090;&#1077;%20(version%20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9533\Desktop\&#1054;&#1054;&#1054;%20&#1058;&#1077;&#1093;&#1085;&#1086;%20&#1056;%202021\&#1060;&#1080;&#1085;&#1072;&#1085;&#1089;&#1086;&#1074;&#1099;&#1077;%20&#1086;&#1090;&#1095;&#1077;&#1090;&#1099;%20&#1054;&#1054;&#1054;%20&#1058;&#1077;&#1093;&#1085;&#1086;%20&#1056;%202020\&#1054;&#1090;&#1095;&#1077;&#1090;%20&#1087;&#1086;%20&#1076;&#1086;&#1084;&#1072;&#1084;%20&#1079;&#1072;%202020&#1075;%20&#1076;&#1083;&#1103;%20&#1088;&#1072;&#1079;&#1084;&#1077;&#1097;&#1077;&#1085;&#1080;&#1103;%20&#1085;&#1072;%20&#1089;&#1072;&#1081;&#109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левизионная 2а"/>
      <sheetName val="Пионерская 16"/>
      <sheetName val=" Пионерская 1318 кв.1-50"/>
      <sheetName val=" Пионерская 1318 кв.51-64"/>
      <sheetName val="Багговута 12"/>
      <sheetName val="Пионерская 15"/>
      <sheetName val="Социалистическая 3"/>
      <sheetName val="Социалистическая 4"/>
      <sheetName val="Социалистическая 6 к.1"/>
      <sheetName val="Социалистическая 6"/>
      <sheetName val="Социалистическая 9"/>
      <sheetName val="Социалистическая 12"/>
      <sheetName val="Телевизионная 2"/>
      <sheetName val="Телевизионная 4"/>
      <sheetName val="Чичерина 7а"/>
      <sheetName val="Чичерина 8"/>
      <sheetName val="Чичерина 16 к. 1"/>
      <sheetName val="пер.Чичерина 24"/>
      <sheetName val="пер. Чичерина 28"/>
      <sheetName val="Калинина 12"/>
      <sheetName val="Калинина 18"/>
      <sheetName val="Калинина 23"/>
      <sheetName val="Пионерская 9"/>
      <sheetName val="Высокая 4"/>
      <sheetName val="Пухова 15"/>
      <sheetName val="Пухова 17"/>
      <sheetName val="Калинина 4"/>
      <sheetName val="Тельмана 10"/>
      <sheetName val="Пионерская 18"/>
      <sheetName val="Чичерина 12 к.1"/>
      <sheetName val="Телевизионная 6 к.1"/>
      <sheetName val="Пионерская 2"/>
      <sheetName val="Телевизионная 2 к.1"/>
      <sheetName val="Чичерина 16"/>
      <sheetName val="Чичерина 19"/>
      <sheetName val="Чичерина 22"/>
      <sheetName val="Лист1"/>
      <sheetName val="Лист2"/>
      <sheetName val="Ленина 68,8"/>
      <sheetName val="Ленина 67"/>
      <sheetName val="Огарева 20"/>
      <sheetName val="Пролетарская 40"/>
      <sheetName val="Чижевского 4"/>
      <sheetName val="Билибина 10"/>
      <sheetName val="Ленина 61.5"/>
      <sheetName val="Билибина 26"/>
      <sheetName val="Московская 167"/>
      <sheetName val="Билибина 28"/>
      <sheetName val="Общее"/>
      <sheetName val="Пролетарская 135"/>
      <sheetName val="Молодежная 41"/>
      <sheetName val="Солнечный б-р 2 общий"/>
      <sheetName val="Солнечный б-р 4"/>
      <sheetName val="Солнечный б-р 4-1"/>
      <sheetName val="Солнечный б-р 4-2"/>
      <sheetName val="Аллейная 2"/>
      <sheetName val="Телевизионная 10"/>
      <sheetName val="Дубрава 1"/>
      <sheetName val="Дубрава 1а"/>
      <sheetName val="Дубрава 2"/>
      <sheetName val="Дубрава 3"/>
      <sheetName val="Дубрава 4"/>
      <sheetName val="Дубрава 5"/>
      <sheetName val="Дубрава 6"/>
      <sheetName val="Дубрава 7"/>
      <sheetName val="Дубрава 9"/>
      <sheetName val="Дубрава10"/>
      <sheetName val="Дубрава 11"/>
      <sheetName val="Нефтебаза 1"/>
      <sheetName val="Нефтебаза 2"/>
      <sheetName val="Нефтебаза 3"/>
      <sheetName val="Нефтебаза 4"/>
      <sheetName val="Нефтебаза 5"/>
      <sheetName val="Нефтебаза 6"/>
      <sheetName val="Аэропортовская 14"/>
      <sheetName val="Дорожная 11 корп1"/>
      <sheetName val="Дорожная 11 корп2"/>
      <sheetName val="Моторная 30А"/>
      <sheetName val="Грабцевское шоссе 160"/>
      <sheetName val="Аэропортовская 9"/>
      <sheetName val="Хрустальная 52"/>
      <sheetName val="Хрустальная 56"/>
      <sheetName val="Хрустальная 62"/>
      <sheetName val="Хрустальная 66"/>
      <sheetName val="Хрустальная 70"/>
      <sheetName val="Хрустальная 74"/>
      <sheetName val="Молодежная 46"/>
      <sheetName val="Молодежная 48"/>
      <sheetName val="Солнечный бульвар 20"/>
      <sheetName val="Грабцевское шоссе 132 корп.1"/>
      <sheetName val="Гагарина 9"/>
      <sheetName val="Добровольского 14"/>
      <sheetName val="Чижевского 12"/>
      <sheetName val="Чижевского 23"/>
      <sheetName val="Болотникова 16"/>
      <sheetName val="Плеханова 2 к.2"/>
      <sheetName val="65 лет Победы 29"/>
      <sheetName val="Суворова 153 к.5"/>
      <sheetName val="А.Королева 29 гаражи"/>
      <sheetName val="Кооперативная1дробь2"/>
      <sheetName val="А.Королева 29"/>
      <sheetName val="Калинина 15"/>
    </sheetNames>
    <sheetDataSet>
      <sheetData sheetId="0">
        <row r="36">
          <cell r="G36">
            <v>13719.439999999999</v>
          </cell>
        </row>
        <row r="37">
          <cell r="G37">
            <v>89518.34969999999</v>
          </cell>
        </row>
      </sheetData>
      <sheetData sheetId="1">
        <row r="34">
          <cell r="G34">
            <v>34925.52</v>
          </cell>
        </row>
        <row r="35">
          <cell r="G35">
            <v>289137.6518</v>
          </cell>
        </row>
      </sheetData>
      <sheetData sheetId="2">
        <row r="36">
          <cell r="G36">
            <v>-2316.25</v>
          </cell>
        </row>
        <row r="37">
          <cell r="G37">
            <v>-53350.216025</v>
          </cell>
        </row>
      </sheetData>
      <sheetData sheetId="3">
        <row r="36">
          <cell r="G36">
            <v>0</v>
          </cell>
        </row>
        <row r="37">
          <cell r="G37">
            <v>5821.447924999999</v>
          </cell>
        </row>
      </sheetData>
      <sheetData sheetId="4">
        <row r="36">
          <cell r="G36">
            <v>21544.37</v>
          </cell>
        </row>
        <row r="37">
          <cell r="G37">
            <v>-103516.00240000001</v>
          </cell>
        </row>
      </sheetData>
      <sheetData sheetId="5">
        <row r="36">
          <cell r="G36">
            <v>94418.53</v>
          </cell>
        </row>
        <row r="37">
          <cell r="G37">
            <v>-4293.223099999988</v>
          </cell>
        </row>
      </sheetData>
      <sheetData sheetId="6">
        <row r="37">
          <cell r="G37">
            <v>-695571.49</v>
          </cell>
        </row>
        <row r="38">
          <cell r="G38">
            <v>-610451.5407</v>
          </cell>
        </row>
      </sheetData>
      <sheetData sheetId="7">
        <row r="37">
          <cell r="G37">
            <v>171860.85</v>
          </cell>
        </row>
        <row r="38">
          <cell r="G38">
            <v>294073.4143</v>
          </cell>
        </row>
      </sheetData>
      <sheetData sheetId="8">
        <row r="38">
          <cell r="G38">
            <v>23604.83</v>
          </cell>
        </row>
        <row r="39">
          <cell r="G39">
            <v>-66500.25659999998</v>
          </cell>
        </row>
      </sheetData>
      <sheetData sheetId="9">
        <row r="37">
          <cell r="G37">
            <v>86554.33</v>
          </cell>
        </row>
        <row r="38">
          <cell r="G38">
            <v>371309.30210000003</v>
          </cell>
        </row>
      </sheetData>
      <sheetData sheetId="10">
        <row r="37">
          <cell r="G37">
            <v>27785.29</v>
          </cell>
        </row>
        <row r="38">
          <cell r="G38">
            <v>-30771.247099999993</v>
          </cell>
        </row>
      </sheetData>
      <sheetData sheetId="11">
        <row r="37">
          <cell r="G37">
            <v>22929.33</v>
          </cell>
        </row>
        <row r="38">
          <cell r="G38">
            <v>50784.85110000001</v>
          </cell>
        </row>
      </sheetData>
      <sheetData sheetId="12">
        <row r="37">
          <cell r="G37">
            <v>13950.14</v>
          </cell>
        </row>
        <row r="38">
          <cell r="G38">
            <v>-175623.25470000002</v>
          </cell>
        </row>
      </sheetData>
      <sheetData sheetId="13">
        <row r="37">
          <cell r="G37">
            <v>16766.739999999998</v>
          </cell>
        </row>
        <row r="38">
          <cell r="G38">
            <v>14013.551199999998</v>
          </cell>
        </row>
      </sheetData>
      <sheetData sheetId="14">
        <row r="37">
          <cell r="G37">
            <v>15586.55</v>
          </cell>
        </row>
        <row r="38">
          <cell r="G38">
            <v>55258.403300000005</v>
          </cell>
        </row>
      </sheetData>
      <sheetData sheetId="15">
        <row r="37">
          <cell r="G37">
            <v>-64908.700000000004</v>
          </cell>
        </row>
        <row r="38">
          <cell r="G38">
            <v>53345.65379999999</v>
          </cell>
        </row>
      </sheetData>
      <sheetData sheetId="16">
        <row r="37">
          <cell r="G37">
            <v>-5989.219999999999</v>
          </cell>
        </row>
        <row r="38">
          <cell r="G38">
            <v>-380427.0261</v>
          </cell>
        </row>
      </sheetData>
      <sheetData sheetId="17">
        <row r="37">
          <cell r="G37">
            <v>-39261.52999999999</v>
          </cell>
        </row>
        <row r="38">
          <cell r="G38">
            <v>-512.8387999999904</v>
          </cell>
        </row>
      </sheetData>
      <sheetData sheetId="18">
        <row r="36">
          <cell r="G36">
            <v>99543.7</v>
          </cell>
        </row>
        <row r="37">
          <cell r="G37">
            <v>259562.42319999996</v>
          </cell>
        </row>
      </sheetData>
      <sheetData sheetId="19">
        <row r="37">
          <cell r="G37">
            <v>-154273.36000000002</v>
          </cell>
        </row>
        <row r="38">
          <cell r="G38">
            <v>-934031.6133</v>
          </cell>
        </row>
      </sheetData>
      <sheetData sheetId="20">
        <row r="37">
          <cell r="G37">
            <v>379052.33</v>
          </cell>
        </row>
        <row r="38">
          <cell r="G38">
            <v>372365.05299999996</v>
          </cell>
        </row>
      </sheetData>
      <sheetData sheetId="21">
        <row r="36">
          <cell r="G36">
            <v>20084.97999999998</v>
          </cell>
        </row>
        <row r="37">
          <cell r="G37">
            <v>-94672.4852</v>
          </cell>
        </row>
      </sheetData>
      <sheetData sheetId="22">
        <row r="36">
          <cell r="G36">
            <v>24315.84</v>
          </cell>
        </row>
        <row r="37">
          <cell r="G37">
            <v>-83862.4027</v>
          </cell>
        </row>
      </sheetData>
      <sheetData sheetId="23">
        <row r="36">
          <cell r="G36">
            <v>13760.64</v>
          </cell>
        </row>
        <row r="37">
          <cell r="G37">
            <v>45692.85519999999</v>
          </cell>
        </row>
      </sheetData>
      <sheetData sheetId="24">
        <row r="36">
          <cell r="G36">
            <v>5572.86</v>
          </cell>
        </row>
        <row r="37">
          <cell r="G37">
            <v>-31553.679300000007</v>
          </cell>
        </row>
      </sheetData>
      <sheetData sheetId="25">
        <row r="37">
          <cell r="G37">
            <v>38596.57</v>
          </cell>
        </row>
        <row r="38">
          <cell r="G38">
            <v>-430039.06429999997</v>
          </cell>
        </row>
      </sheetData>
      <sheetData sheetId="26">
        <row r="37">
          <cell r="G37">
            <v>21917.31</v>
          </cell>
        </row>
        <row r="38">
          <cell r="G38">
            <v>-234785.4156</v>
          </cell>
        </row>
      </sheetData>
      <sheetData sheetId="27">
        <row r="36">
          <cell r="G36">
            <v>0</v>
          </cell>
        </row>
        <row r="37">
          <cell r="G37">
            <v>48973.333199999994</v>
          </cell>
        </row>
      </sheetData>
      <sheetData sheetId="28">
        <row r="37">
          <cell r="G37">
            <v>22432.25</v>
          </cell>
        </row>
        <row r="38">
          <cell r="G38">
            <v>-237286.6143</v>
          </cell>
        </row>
      </sheetData>
      <sheetData sheetId="29">
        <row r="36">
          <cell r="G36">
            <v>17055.13</v>
          </cell>
        </row>
        <row r="37">
          <cell r="G37">
            <v>148473.5026</v>
          </cell>
        </row>
      </sheetData>
      <sheetData sheetId="30">
        <row r="36">
          <cell r="G36">
            <v>2910.05</v>
          </cell>
        </row>
        <row r="37">
          <cell r="G37">
            <v>49592.373</v>
          </cell>
        </row>
      </sheetData>
      <sheetData sheetId="31">
        <row r="36">
          <cell r="G36">
            <v>5697.05</v>
          </cell>
        </row>
        <row r="37">
          <cell r="G37">
            <v>-354801.28380000003</v>
          </cell>
        </row>
      </sheetData>
      <sheetData sheetId="32">
        <row r="36">
          <cell r="G36">
            <v>30130.77</v>
          </cell>
        </row>
        <row r="37">
          <cell r="G37">
            <v>-20143.779600000023</v>
          </cell>
        </row>
      </sheetData>
      <sheetData sheetId="33">
        <row r="36">
          <cell r="G36">
            <v>-7051.42</v>
          </cell>
        </row>
        <row r="37">
          <cell r="G37">
            <v>-22165.243500000008</v>
          </cell>
        </row>
      </sheetData>
      <sheetData sheetId="34">
        <row r="35">
          <cell r="G35">
            <v>111854.6802</v>
          </cell>
        </row>
      </sheetData>
      <sheetData sheetId="35">
        <row r="36">
          <cell r="G36">
            <v>13844.94</v>
          </cell>
        </row>
        <row r="37">
          <cell r="G37">
            <v>2583.3297999999995</v>
          </cell>
        </row>
      </sheetData>
      <sheetData sheetId="38">
        <row r="38">
          <cell r="G38">
            <v>-3318.67</v>
          </cell>
        </row>
        <row r="39">
          <cell r="G39">
            <v>-96187.99830000002</v>
          </cell>
        </row>
      </sheetData>
      <sheetData sheetId="39">
        <row r="36">
          <cell r="G36">
            <v>121742.19999999998</v>
          </cell>
        </row>
        <row r="37">
          <cell r="G37">
            <v>171254.39729999998</v>
          </cell>
        </row>
      </sheetData>
      <sheetData sheetId="40">
        <row r="36">
          <cell r="G36">
            <v>136693.01940000002</v>
          </cell>
        </row>
      </sheetData>
      <sheetData sheetId="41">
        <row r="36">
          <cell r="G36">
            <v>63530.374</v>
          </cell>
        </row>
      </sheetData>
      <sheetData sheetId="42">
        <row r="37">
          <cell r="G37">
            <v>-7060.03</v>
          </cell>
        </row>
        <row r="38">
          <cell r="G38">
            <v>-347576.6364</v>
          </cell>
        </row>
      </sheetData>
      <sheetData sheetId="43">
        <row r="37">
          <cell r="G37">
            <v>13787.78</v>
          </cell>
        </row>
        <row r="38">
          <cell r="G38">
            <v>109258.95179999998</v>
          </cell>
        </row>
      </sheetData>
      <sheetData sheetId="44">
        <row r="37">
          <cell r="G37">
            <v>1856.829999999993</v>
          </cell>
        </row>
        <row r="38">
          <cell r="G38">
            <v>-327217.0147</v>
          </cell>
        </row>
      </sheetData>
      <sheetData sheetId="45">
        <row r="36">
          <cell r="G36">
            <v>0</v>
          </cell>
        </row>
        <row r="37">
          <cell r="G37">
            <v>-108522.53530000002</v>
          </cell>
        </row>
      </sheetData>
      <sheetData sheetId="46">
        <row r="38">
          <cell r="G38">
            <v>29926.459000000003</v>
          </cell>
        </row>
      </sheetData>
      <sheetData sheetId="47">
        <row r="36">
          <cell r="G36">
            <v>0</v>
          </cell>
        </row>
        <row r="37">
          <cell r="G37">
            <v>7874.587599999999</v>
          </cell>
        </row>
      </sheetData>
      <sheetData sheetId="49">
        <row r="36">
          <cell r="G36">
            <v>-105022.04</v>
          </cell>
        </row>
        <row r="37">
          <cell r="G37">
            <v>-118936.53330000001</v>
          </cell>
        </row>
      </sheetData>
      <sheetData sheetId="50">
        <row r="39">
          <cell r="G39">
            <v>466725.0314999999</v>
          </cell>
        </row>
      </sheetData>
      <sheetData sheetId="51">
        <row r="38">
          <cell r="G38">
            <v>226400.64300000016</v>
          </cell>
        </row>
      </sheetData>
      <sheetData sheetId="52">
        <row r="38">
          <cell r="G38">
            <v>174378.68409999995</v>
          </cell>
        </row>
      </sheetData>
      <sheetData sheetId="53">
        <row r="38">
          <cell r="G38">
            <v>-4355.469999999999</v>
          </cell>
        </row>
        <row r="39">
          <cell r="G39">
            <v>76088.0309</v>
          </cell>
        </row>
      </sheetData>
      <sheetData sheetId="54">
        <row r="37">
          <cell r="G37">
            <v>-226594.16850000003</v>
          </cell>
        </row>
      </sheetData>
      <sheetData sheetId="56">
        <row r="36">
          <cell r="G36">
            <v>-20048.079999999998</v>
          </cell>
        </row>
        <row r="37">
          <cell r="G37">
            <v>129217.8789</v>
          </cell>
        </row>
      </sheetData>
      <sheetData sheetId="57">
        <row r="36">
          <cell r="G36">
            <v>7331.355100000015</v>
          </cell>
        </row>
      </sheetData>
      <sheetData sheetId="59">
        <row r="35">
          <cell r="G35">
            <v>146979.1567</v>
          </cell>
        </row>
      </sheetData>
      <sheetData sheetId="60">
        <row r="35">
          <cell r="G35">
            <v>3760.068500000005</v>
          </cell>
        </row>
      </sheetData>
      <sheetData sheetId="61">
        <row r="36">
          <cell r="G36">
            <v>62427.328299999994</v>
          </cell>
        </row>
      </sheetData>
      <sheetData sheetId="62">
        <row r="35">
          <cell r="G35">
            <v>-26835.79</v>
          </cell>
        </row>
      </sheetData>
      <sheetData sheetId="63">
        <row r="35">
          <cell r="G35">
            <v>-76676.68609999998</v>
          </cell>
        </row>
      </sheetData>
      <sheetData sheetId="64">
        <row r="35">
          <cell r="G35">
            <v>-16609.905099999996</v>
          </cell>
        </row>
      </sheetData>
      <sheetData sheetId="65">
        <row r="35">
          <cell r="G35">
            <v>94129.6151</v>
          </cell>
        </row>
      </sheetData>
      <sheetData sheetId="66">
        <row r="35">
          <cell r="G35">
            <v>40439.571899999995</v>
          </cell>
        </row>
      </sheetData>
      <sheetData sheetId="67">
        <row r="35">
          <cell r="G35">
            <v>128716.66699999999</v>
          </cell>
        </row>
      </sheetData>
      <sheetData sheetId="69">
        <row r="35">
          <cell r="G35">
            <v>-74613.11059999999</v>
          </cell>
        </row>
      </sheetData>
      <sheetData sheetId="70">
        <row r="35">
          <cell r="G35">
            <v>351267.50940000004</v>
          </cell>
        </row>
      </sheetData>
      <sheetData sheetId="71">
        <row r="35">
          <cell r="G35">
            <v>69097.9237</v>
          </cell>
        </row>
      </sheetData>
      <sheetData sheetId="72">
        <row r="35">
          <cell r="G35">
            <v>202251.0182</v>
          </cell>
        </row>
      </sheetData>
      <sheetData sheetId="73">
        <row r="35">
          <cell r="G35">
            <v>-8421.884300000005</v>
          </cell>
        </row>
      </sheetData>
      <sheetData sheetId="74">
        <row r="36">
          <cell r="G36">
            <v>-25814.68670000002</v>
          </cell>
        </row>
      </sheetData>
      <sheetData sheetId="75">
        <row r="36">
          <cell r="G36">
            <v>90439.70749999999</v>
          </cell>
        </row>
      </sheetData>
      <sheetData sheetId="76">
        <row r="36">
          <cell r="G36">
            <v>109465.0214</v>
          </cell>
        </row>
      </sheetData>
      <sheetData sheetId="77">
        <row r="35">
          <cell r="G35">
            <v>2308.4522999999917</v>
          </cell>
        </row>
      </sheetData>
      <sheetData sheetId="78">
        <row r="35">
          <cell r="G35">
            <v>-320623.56320000003</v>
          </cell>
        </row>
      </sheetData>
      <sheetData sheetId="79">
        <row r="35">
          <cell r="G35">
            <v>-7429.511299999998</v>
          </cell>
        </row>
      </sheetData>
      <sheetData sheetId="80">
        <row r="35">
          <cell r="G35">
            <v>-87794.07590000001</v>
          </cell>
        </row>
      </sheetData>
      <sheetData sheetId="81">
        <row r="35">
          <cell r="G35">
            <v>68791.2303</v>
          </cell>
        </row>
      </sheetData>
      <sheetData sheetId="82">
        <row r="35">
          <cell r="G35">
            <v>-229224.70070000002</v>
          </cell>
        </row>
      </sheetData>
      <sheetData sheetId="83">
        <row r="35">
          <cell r="G35">
            <v>-65275.163</v>
          </cell>
        </row>
      </sheetData>
      <sheetData sheetId="84">
        <row r="35">
          <cell r="G35">
            <v>58919.38420000001</v>
          </cell>
        </row>
      </sheetData>
      <sheetData sheetId="85">
        <row r="35">
          <cell r="G35">
            <v>-122084.22499999996</v>
          </cell>
        </row>
        <row r="36">
          <cell r="G36">
            <v>-4979.559999999998</v>
          </cell>
        </row>
      </sheetData>
      <sheetData sheetId="86">
        <row r="36">
          <cell r="G36">
            <v>610035.4030000002</v>
          </cell>
        </row>
      </sheetData>
      <sheetData sheetId="87">
        <row r="36">
          <cell r="G36">
            <v>645919.1656</v>
          </cell>
        </row>
      </sheetData>
      <sheetData sheetId="91">
        <row r="35">
          <cell r="G35">
            <v>-4981.51489999998</v>
          </cell>
        </row>
      </sheetData>
      <sheetData sheetId="92">
        <row r="35">
          <cell r="G35">
            <v>149230.4324</v>
          </cell>
        </row>
      </sheetData>
      <sheetData sheetId="93">
        <row r="35">
          <cell r="G35">
            <v>82934.8961</v>
          </cell>
        </row>
        <row r="36">
          <cell r="G36">
            <v>221555.69</v>
          </cell>
        </row>
      </sheetData>
      <sheetData sheetId="94">
        <row r="35">
          <cell r="G35">
            <v>8835.775500000018</v>
          </cell>
        </row>
      </sheetData>
      <sheetData sheetId="95">
        <row r="35">
          <cell r="G35">
            <v>-209637.65909999996</v>
          </cell>
        </row>
      </sheetData>
      <sheetData sheetId="96">
        <row r="37">
          <cell r="G37">
            <v>117093.10750000001</v>
          </cell>
        </row>
      </sheetData>
      <sheetData sheetId="97">
        <row r="35">
          <cell r="G35">
            <v>33094.874500000005</v>
          </cell>
        </row>
      </sheetData>
      <sheetData sheetId="98">
        <row r="35">
          <cell r="G35">
            <v>0</v>
          </cell>
        </row>
      </sheetData>
      <sheetData sheetId="99">
        <row r="35">
          <cell r="G35">
            <v>12019.966199999999</v>
          </cell>
        </row>
      </sheetData>
      <sheetData sheetId="100">
        <row r="35">
          <cell r="G35">
            <v>-20107.7225</v>
          </cell>
        </row>
      </sheetData>
      <sheetData sheetId="101">
        <row r="35">
          <cell r="G35">
            <v>-59580.5846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левизионная 2а"/>
      <sheetName val="Пионерская 16"/>
      <sheetName val=" Пионерская 1318 кв.1-50"/>
      <sheetName val=" Пионерская 1318 кв.51-64"/>
      <sheetName val="Багговута 12"/>
      <sheetName val="Пионерская 15"/>
      <sheetName val="Социалистическая 3"/>
      <sheetName val="Социалистическая 4"/>
      <sheetName val="Социалистическая 6 к.1"/>
      <sheetName val="Социалистическая 6"/>
      <sheetName val="Социалистическая 9"/>
      <sheetName val="Социалистическая 12"/>
      <sheetName val="Телевизионная 2"/>
      <sheetName val="Телевизионная 4"/>
      <sheetName val="Чичерина 7а"/>
      <sheetName val="Чичерина 8"/>
      <sheetName val="Чичерина 16 к. 1"/>
      <sheetName val="пер.Чичерина 24"/>
      <sheetName val="пер. Чичерина 28"/>
      <sheetName val="Калинина 12"/>
      <sheetName val="Калинина 18"/>
      <sheetName val="Калинина 23"/>
      <sheetName val="Пионерская 9"/>
      <sheetName val="Высокая 4"/>
      <sheetName val="Пухова 15"/>
      <sheetName val="Пухова 17"/>
      <sheetName val="Калинина 4"/>
      <sheetName val="Тельмана 10"/>
      <sheetName val="Пионерская 18"/>
      <sheetName val="Чичерина 12 к.1"/>
      <sheetName val="Телевизионная 6 к.1"/>
      <sheetName val="Пионерская 2"/>
      <sheetName val="Телевизионная 2 к.1"/>
      <sheetName val="Чичерина 16"/>
      <sheetName val="Чичерина 19"/>
      <sheetName val="Чичерина 22"/>
      <sheetName val="Лист1"/>
      <sheetName val="Лист2"/>
      <sheetName val="Ленина 68,8"/>
      <sheetName val="Ленина 67"/>
      <sheetName val="Огарева 20"/>
      <sheetName val="Пролетарская 40"/>
      <sheetName val="Чижевского 4"/>
      <sheetName val="Билибина 10"/>
      <sheetName val="Ленина 61.5"/>
      <sheetName val="Билибина 26"/>
      <sheetName val="Московская 167"/>
      <sheetName val="Билибина 28"/>
      <sheetName val="Общее"/>
      <sheetName val="Пролетарская 135"/>
      <sheetName val="Молодежная 41"/>
      <sheetName val="Солнечный б-р 2 общий"/>
      <sheetName val="Солнечный б-р 4"/>
      <sheetName val="Солнечный б-р 4-1"/>
      <sheetName val="Солнечный б-р 4-2"/>
      <sheetName val="Аллейная 2"/>
      <sheetName val="Телевизионная 10"/>
      <sheetName val="Дубрава 1"/>
      <sheetName val="Дубрава 1а"/>
      <sheetName val="Дубрава 2"/>
      <sheetName val="Дубрава 3"/>
      <sheetName val="Дубрава 4"/>
      <sheetName val="Дубрава 5"/>
      <sheetName val="Дубрава 6"/>
      <sheetName val="Дубрава 7"/>
      <sheetName val="Дубрава 9"/>
      <sheetName val="Дубрава10"/>
      <sheetName val="Дубрава 11"/>
      <sheetName val="Нефтебаза 1"/>
      <sheetName val="Нефтебаза 2"/>
      <sheetName val="Нефтебаза 3"/>
      <sheetName val="Нефтебаза 4"/>
      <sheetName val="Нефтебаза 5"/>
      <sheetName val="Нефтебаза 6"/>
      <sheetName val="Аэропортовская 14"/>
      <sheetName val="Дорожная 11 корп1"/>
      <sheetName val="Дорожная 11 корп2"/>
      <sheetName val="Моторная 30А"/>
      <sheetName val="Грабцевское шоссе 160"/>
      <sheetName val="Аэропортовская 9"/>
      <sheetName val="Хрустальная 52"/>
      <sheetName val="Хрустальная 56"/>
      <sheetName val="Хрустальная 62"/>
      <sheetName val="Хрустальная 66"/>
      <sheetName val="Хрустальная 70"/>
      <sheetName val="Хрустальная 74"/>
      <sheetName val="Молодежная 46"/>
      <sheetName val="Молодежная 48"/>
      <sheetName val="Солнечный бульвар 20"/>
      <sheetName val="Грабцевское шоссе 132 корп.1"/>
      <sheetName val="Гагарина 9"/>
      <sheetName val="Добровольского 14"/>
      <sheetName val="Чижевского 12"/>
      <sheetName val="Чижевского 23"/>
      <sheetName val="Болотникова 16"/>
      <sheetName val="Плеханова 2 к.2"/>
      <sheetName val="65 лет Победы 29"/>
      <sheetName val="Суворова 153 к.5"/>
      <sheetName val="А.Королева 29 гаражи"/>
      <sheetName val="Кооперативная1дробь2"/>
      <sheetName val="А.Королева 29"/>
      <sheetName val="Калинина 15"/>
    </sheetNames>
    <sheetDataSet>
      <sheetData sheetId="58">
        <row r="35">
          <cell r="G35">
            <v>3633.5375999999997</v>
          </cell>
        </row>
      </sheetData>
      <sheetData sheetId="88">
        <row r="37">
          <cell r="G37">
            <v>-138112.338</v>
          </cell>
        </row>
        <row r="38">
          <cell r="G38">
            <v>-112262.33999999997</v>
          </cell>
        </row>
      </sheetData>
      <sheetData sheetId="89">
        <row r="38">
          <cell r="G38">
            <v>337286.825490671</v>
          </cell>
        </row>
        <row r="39">
          <cell r="G39">
            <v>371798.0634093289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левизионная 2а"/>
      <sheetName val="Пионерская 16"/>
      <sheetName val=" Пионерская 1318 кв.1-50"/>
      <sheetName val=" Пионерская 1318 кв.51-64"/>
      <sheetName val="Багговута 12"/>
      <sheetName val="Пионерская 15"/>
      <sheetName val="Социалистическая 3"/>
      <sheetName val="Социалистическая 4"/>
      <sheetName val="Социалистическая 6 к.1"/>
      <sheetName val="Социалистическая 6"/>
      <sheetName val="Социалистическая 9"/>
      <sheetName val="Социалистическая 12"/>
      <sheetName val="Телевизионная 2"/>
      <sheetName val="Телевизионная 4"/>
      <sheetName val="Чичерина 7а"/>
      <sheetName val="Чичерина 8"/>
      <sheetName val="Чичерина 16 к. 1"/>
      <sheetName val="пер.Чичерина 24"/>
      <sheetName val="пер. Чичерина 28"/>
      <sheetName val="Калинина 12"/>
      <sheetName val="Калинина 18"/>
      <sheetName val="Калинина 23"/>
      <sheetName val="Пионерская 9"/>
      <sheetName val="Высокая 4"/>
      <sheetName val="Пухова 15"/>
      <sheetName val="Пухова 17"/>
      <sheetName val="Калинина 4"/>
      <sheetName val="Тельмана 10"/>
      <sheetName val="Пионерская 18"/>
      <sheetName val="Чичерина 12 к.1"/>
      <sheetName val="Телевизионная 6 к.1"/>
      <sheetName val="Пионерская 2"/>
      <sheetName val="Телевизионная 2 к.1"/>
      <sheetName val="Чичерина 16"/>
      <sheetName val="Чичерина 19"/>
      <sheetName val="Чичерина 22"/>
      <sheetName val="Лист1"/>
      <sheetName val="Лист2"/>
      <sheetName val="Ленина 68,8"/>
      <sheetName val="Ленина 67"/>
      <sheetName val="Огарева 20"/>
      <sheetName val="Пролетарская 40"/>
      <sheetName val="Чижевского 4"/>
      <sheetName val="Билибина 10"/>
      <sheetName val="Ленина 61.5"/>
      <sheetName val="Билибина 26"/>
      <sheetName val="Московская 167"/>
      <sheetName val="Билибина 28"/>
      <sheetName val="Общее"/>
      <sheetName val="Пролетарская 135"/>
      <sheetName val="Молодежная 41"/>
      <sheetName val="Солнечный б-р 2 общий"/>
      <sheetName val="Солнечный б-р 4"/>
      <sheetName val="Солнечный б-р 4-1"/>
      <sheetName val="Солнечный б-р 4-2"/>
      <sheetName val="Аллейная 2"/>
      <sheetName val="Телевизионная 10"/>
      <sheetName val="Дубрава 1"/>
      <sheetName val="Дубрава 1а"/>
      <sheetName val="Дубрава 2"/>
      <sheetName val="Дубрава 3"/>
      <sheetName val="Дубрава 4"/>
      <sheetName val="Дубрава 5"/>
      <sheetName val="Дубрава 6"/>
      <sheetName val="Дубрава 7"/>
      <sheetName val="Дубрава 9"/>
      <sheetName val="Дубрава10"/>
      <sheetName val="Дубрава 11"/>
      <sheetName val="Нефтебаза 1"/>
      <sheetName val="Нефтебаза 2"/>
      <sheetName val="Нефтебаза 3"/>
      <sheetName val="Нефтебаза 4"/>
      <sheetName val="Нефтебаза 5"/>
      <sheetName val="Нефтебаза 6"/>
      <sheetName val="Аэропортовская 14"/>
      <sheetName val="Дорожная 11 корп1"/>
      <sheetName val="Дорожная 11 корп2"/>
      <sheetName val="Моторная 30А"/>
      <sheetName val="Грабцевское шоссе 160"/>
      <sheetName val="Аэропортовская 9"/>
      <sheetName val="Хрустальная 52"/>
      <sheetName val="Хрустальная 56"/>
      <sheetName val="Хрустальная 62"/>
      <sheetName val="Хрустальная 66"/>
      <sheetName val="Хрустальная 70"/>
      <sheetName val="Хрустальная 74"/>
      <sheetName val="Молодежная 46"/>
      <sheetName val="Молодежная 48"/>
      <sheetName val="Солнечный бульвар 20"/>
      <sheetName val="Грабцевское шоссе 132 корп.1"/>
      <sheetName val="Гагарина 9"/>
      <sheetName val="Добровольского 14"/>
      <sheetName val="Чижевского 12"/>
      <sheetName val="Чижевского 23"/>
      <sheetName val="Болотникова 16"/>
      <sheetName val="Плеханова 2 к.2"/>
      <sheetName val="65 лет Победы 29"/>
      <sheetName val="Суворова 153 к.5"/>
      <sheetName val="А.Королева 29 гаражи"/>
      <sheetName val="Кооперативная1дробь2"/>
      <sheetName val="А.Королева 29"/>
      <sheetName val="Калинина 15"/>
    </sheetNames>
    <sheetDataSet>
      <sheetData sheetId="55">
        <row r="39">
          <cell r="G39">
            <v>-156340.21349999995</v>
          </cell>
        </row>
      </sheetData>
      <sheetData sheetId="68">
        <row r="35">
          <cell r="G35">
            <v>79575.14630000001</v>
          </cell>
        </row>
      </sheetData>
      <sheetData sheetId="90">
        <row r="35">
          <cell r="G35">
            <v>35216.310000000005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60"/>
  <sheetViews>
    <sheetView zoomScalePageLayoutView="0" workbookViewId="0" topLeftCell="A40">
      <selection activeCell="B51" sqref="B51:D51"/>
    </sheetView>
  </sheetViews>
  <sheetFormatPr defaultColWidth="9.140625" defaultRowHeight="15" outlineLevelCol="2"/>
  <cols>
    <col min="1" max="1" width="5.8515625" style="57" customWidth="1"/>
    <col min="2" max="2" width="40.421875" style="57" customWidth="1"/>
    <col min="3" max="3" width="14.57421875" style="131" customWidth="1"/>
    <col min="4" max="4" width="14.8515625" style="57" customWidth="1"/>
    <col min="5" max="5" width="13.28125" style="57" customWidth="1"/>
    <col min="6" max="6" width="13.140625" style="57" customWidth="1"/>
    <col min="7" max="7" width="14.57421875" style="57" customWidth="1"/>
    <col min="8" max="9" width="11.57421875" style="57" hidden="1" customWidth="1" outlineLevel="2"/>
    <col min="10" max="10" width="10.140625" style="57" hidden="1" customWidth="1" outlineLevel="2"/>
    <col min="11" max="11" width="10.421875" style="57" hidden="1" customWidth="1" outlineLevel="2"/>
    <col min="12" max="13" width="9.140625" style="57" hidden="1" customWidth="1" outlineLevel="2"/>
    <col min="14" max="14" width="9.140625" style="57" hidden="1" customWidth="1" outlineLevel="1"/>
    <col min="15" max="15" width="10.00390625" style="57" hidden="1" customWidth="1" outlineLevel="1"/>
    <col min="16" max="16" width="15.8515625" style="57" customWidth="1" collapsed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C7" s="132"/>
      <c r="F7" s="60" t="s">
        <v>53</v>
      </c>
      <c r="H7" s="60"/>
    </row>
    <row r="8" spans="1:8" s="59" customFormat="1" ht="12.75">
      <c r="A8" s="59" t="s">
        <v>3</v>
      </c>
      <c r="C8" s="132"/>
      <c r="F8" s="60" t="s">
        <v>136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133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312</v>
      </c>
      <c r="B13" s="64"/>
      <c r="C13" s="134"/>
      <c r="D13" s="69"/>
      <c r="E13" s="70"/>
      <c r="F13" s="70"/>
      <c r="G13" s="65">
        <f>'[1]Телевизионная 2а'!$G$36</f>
        <v>13719.439999999999</v>
      </c>
      <c r="H13" s="62"/>
      <c r="I13" s="62"/>
    </row>
    <row r="14" spans="1:9" s="67" customFormat="1" ht="15.75" thickBot="1">
      <c r="A14" s="63" t="s">
        <v>313</v>
      </c>
      <c r="B14" s="64"/>
      <c r="C14" s="134"/>
      <c r="D14" s="69"/>
      <c r="E14" s="70"/>
      <c r="F14" s="70"/>
      <c r="G14" s="65">
        <f>'[1]Телевизионная 2а'!$G$37</f>
        <v>89518.34969999999</v>
      </c>
      <c r="H14" s="62"/>
      <c r="I14" s="62"/>
    </row>
    <row r="15" s="59" customFormat="1" ht="6.75" customHeight="1">
      <c r="C15" s="132"/>
    </row>
    <row r="16" spans="1:7" s="74" customFormat="1" ht="38.25">
      <c r="A16" s="72" t="s">
        <v>11</v>
      </c>
      <c r="B16" s="72" t="s">
        <v>12</v>
      </c>
      <c r="C16" s="72" t="s">
        <v>94</v>
      </c>
      <c r="D16" s="72" t="s">
        <v>374</v>
      </c>
      <c r="E16" s="72" t="s">
        <v>375</v>
      </c>
      <c r="F16" s="73" t="s">
        <v>376</v>
      </c>
      <c r="G16" s="72" t="s">
        <v>377</v>
      </c>
    </row>
    <row r="17" spans="1:16" s="79" customFormat="1" ht="14.25">
      <c r="A17" s="135" t="s">
        <v>14</v>
      </c>
      <c r="B17" s="136" t="s">
        <v>15</v>
      </c>
      <c r="C17" s="137">
        <f>C18+C19+C20+C21</f>
        <v>10.34</v>
      </c>
      <c r="D17" s="76">
        <v>310852.33</v>
      </c>
      <c r="E17" s="76">
        <v>308995.27</v>
      </c>
      <c r="F17" s="76">
        <f aca="true" t="shared" si="0" ref="F17:F26">D17</f>
        <v>310852.33</v>
      </c>
      <c r="G17" s="77">
        <f>D17-E17</f>
        <v>1857.0599999999977</v>
      </c>
      <c r="H17" s="138">
        <f>C17</f>
        <v>10.34</v>
      </c>
      <c r="O17" s="138"/>
      <c r="P17" s="139"/>
    </row>
    <row r="18" spans="1:9" s="59" customFormat="1" ht="15">
      <c r="A18" s="140" t="s">
        <v>16</v>
      </c>
      <c r="B18" s="141" t="s">
        <v>17</v>
      </c>
      <c r="C18" s="99">
        <v>3.46</v>
      </c>
      <c r="D18" s="83">
        <f>D17*I18</f>
        <v>104018.28450676984</v>
      </c>
      <c r="E18" s="83">
        <f>E17*I18</f>
        <v>103396.86984526114</v>
      </c>
      <c r="F18" s="83">
        <f t="shared" si="0"/>
        <v>104018.28450676984</v>
      </c>
      <c r="G18" s="84">
        <f aca="true" t="shared" si="1" ref="G18:G31">D18-E18</f>
        <v>621.4146615086938</v>
      </c>
      <c r="H18" s="78">
        <f>C18</f>
        <v>3.46</v>
      </c>
      <c r="I18" s="59">
        <f>H18/H17</f>
        <v>0.33462282398452614</v>
      </c>
    </row>
    <row r="19" spans="1:9" s="59" customFormat="1" ht="15">
      <c r="A19" s="140" t="s">
        <v>18</v>
      </c>
      <c r="B19" s="141" t="s">
        <v>19</v>
      </c>
      <c r="C19" s="99">
        <v>1.69</v>
      </c>
      <c r="D19" s="83">
        <f>D17*I19</f>
        <v>50806.61873307543</v>
      </c>
      <c r="E19" s="83">
        <f>E17*I19</f>
        <v>50503.09538684719</v>
      </c>
      <c r="F19" s="83">
        <f t="shared" si="0"/>
        <v>50806.61873307543</v>
      </c>
      <c r="G19" s="84">
        <f t="shared" si="1"/>
        <v>303.5233462282413</v>
      </c>
      <c r="H19" s="78">
        <f>C19</f>
        <v>1.69</v>
      </c>
      <c r="I19" s="59">
        <f>H19/H17</f>
        <v>0.1634429400386847</v>
      </c>
    </row>
    <row r="20" spans="1:9" s="59" customFormat="1" ht="15">
      <c r="A20" s="140" t="s">
        <v>20</v>
      </c>
      <c r="B20" s="141" t="s">
        <v>21</v>
      </c>
      <c r="C20" s="99">
        <v>2.15</v>
      </c>
      <c r="D20" s="83">
        <f>D17*I20</f>
        <v>64635.63921663444</v>
      </c>
      <c r="E20" s="83">
        <f>E17*I20</f>
        <v>64249.500048355905</v>
      </c>
      <c r="F20" s="83">
        <f t="shared" si="0"/>
        <v>64635.63921663444</v>
      </c>
      <c r="G20" s="84">
        <f t="shared" si="1"/>
        <v>386.13916827853245</v>
      </c>
      <c r="H20" s="78">
        <f>C20</f>
        <v>2.15</v>
      </c>
      <c r="I20" s="59">
        <f>H20/H17</f>
        <v>0.2079303675048356</v>
      </c>
    </row>
    <row r="21" spans="1:9" s="59" customFormat="1" ht="15">
      <c r="A21" s="140" t="s">
        <v>22</v>
      </c>
      <c r="B21" s="141" t="s">
        <v>23</v>
      </c>
      <c r="C21" s="99">
        <v>3.04</v>
      </c>
      <c r="D21" s="83">
        <f>D17*I21</f>
        <v>91391.78754352032</v>
      </c>
      <c r="E21" s="83">
        <f>E17*I21</f>
        <v>90845.8047195358</v>
      </c>
      <c r="F21" s="83">
        <f t="shared" si="0"/>
        <v>91391.78754352032</v>
      </c>
      <c r="G21" s="84">
        <f t="shared" si="1"/>
        <v>545.9828239845228</v>
      </c>
      <c r="H21" s="78">
        <f>C21</f>
        <v>3.04</v>
      </c>
      <c r="I21" s="59">
        <f>H21/H17</f>
        <v>0.2940038684719536</v>
      </c>
    </row>
    <row r="22" spans="1:7" s="88" customFormat="1" ht="15">
      <c r="A22" s="142" t="s">
        <v>25</v>
      </c>
      <c r="B22" s="142" t="s">
        <v>26</v>
      </c>
      <c r="C22" s="143">
        <v>0</v>
      </c>
      <c r="D22" s="83">
        <f>D17*I22</f>
        <v>0</v>
      </c>
      <c r="E22" s="83">
        <f>E17*I22</f>
        <v>0</v>
      </c>
      <c r="F22" s="87">
        <f t="shared" si="0"/>
        <v>0</v>
      </c>
      <c r="G22" s="77">
        <f t="shared" si="1"/>
        <v>0</v>
      </c>
    </row>
    <row r="23" spans="1:7" s="88" customFormat="1" ht="14.25">
      <c r="A23" s="142" t="s">
        <v>27</v>
      </c>
      <c r="B23" s="142" t="s">
        <v>28</v>
      </c>
      <c r="C23" s="143">
        <v>0</v>
      </c>
      <c r="D23" s="87">
        <v>0</v>
      </c>
      <c r="E23" s="87"/>
      <c r="F23" s="87">
        <f t="shared" si="0"/>
        <v>0</v>
      </c>
      <c r="G23" s="77">
        <f t="shared" si="1"/>
        <v>0</v>
      </c>
    </row>
    <row r="24" spans="1:7" s="88" customFormat="1" ht="14.25">
      <c r="A24" s="142" t="s">
        <v>29</v>
      </c>
      <c r="B24" s="142" t="s">
        <v>168</v>
      </c>
      <c r="C24" s="143" t="s">
        <v>394</v>
      </c>
      <c r="D24" s="87"/>
      <c r="E24" s="87"/>
      <c r="F24" s="87">
        <f t="shared" si="0"/>
        <v>0</v>
      </c>
      <c r="G24" s="77">
        <f t="shared" si="1"/>
        <v>0</v>
      </c>
    </row>
    <row r="25" spans="1:7" s="88" customFormat="1" ht="14.25">
      <c r="A25" s="142" t="s">
        <v>31</v>
      </c>
      <c r="B25" s="142" t="s">
        <v>119</v>
      </c>
      <c r="C25" s="143">
        <v>2.06</v>
      </c>
      <c r="D25" s="87">
        <v>59123.04</v>
      </c>
      <c r="E25" s="87">
        <v>61549.85</v>
      </c>
      <c r="F25" s="87">
        <f>G41</f>
        <v>90922.3385</v>
      </c>
      <c r="G25" s="77">
        <f t="shared" si="1"/>
        <v>-2426.8099999999977</v>
      </c>
    </row>
    <row r="26" spans="1:7" s="98" customFormat="1" ht="14.25">
      <c r="A26" s="136" t="s">
        <v>33</v>
      </c>
      <c r="B26" s="136" t="s">
        <v>34</v>
      </c>
      <c r="C26" s="144">
        <v>0</v>
      </c>
      <c r="D26" s="77">
        <v>0</v>
      </c>
      <c r="E26" s="77">
        <v>1250.3</v>
      </c>
      <c r="F26" s="87">
        <f t="shared" si="0"/>
        <v>0</v>
      </c>
      <c r="G26" s="77">
        <f t="shared" si="1"/>
        <v>-1250.3</v>
      </c>
    </row>
    <row r="27" spans="1:16" s="98" customFormat="1" ht="14.25">
      <c r="A27" s="136" t="s">
        <v>35</v>
      </c>
      <c r="B27" s="136" t="s">
        <v>36</v>
      </c>
      <c r="C27" s="137"/>
      <c r="D27" s="77">
        <f>SUM(D28:D31)</f>
        <v>1478416.65</v>
      </c>
      <c r="E27" s="77">
        <f>SUM(E28:E31)</f>
        <v>1553990.69</v>
      </c>
      <c r="F27" s="77">
        <f>SUM(F28:F31)</f>
        <v>1478416.65</v>
      </c>
      <c r="G27" s="77">
        <f t="shared" si="1"/>
        <v>-75574.04000000004</v>
      </c>
      <c r="P27" s="296"/>
    </row>
    <row r="28" spans="1:7" ht="15">
      <c r="A28" s="141" t="s">
        <v>37</v>
      </c>
      <c r="B28" s="34" t="s">
        <v>172</v>
      </c>
      <c r="C28" s="293" t="s">
        <v>379</v>
      </c>
      <c r="D28" s="295">
        <v>49899.84</v>
      </c>
      <c r="E28" s="295">
        <v>55101.31</v>
      </c>
      <c r="F28" s="295">
        <f>D28</f>
        <v>49899.84</v>
      </c>
      <c r="G28" s="84">
        <f t="shared" si="1"/>
        <v>-5201.470000000001</v>
      </c>
    </row>
    <row r="29" spans="1:7" ht="15">
      <c r="A29" s="141" t="s">
        <v>39</v>
      </c>
      <c r="B29" s="34" t="s">
        <v>142</v>
      </c>
      <c r="C29" s="293" t="s">
        <v>382</v>
      </c>
      <c r="D29" s="295">
        <v>223135.2</v>
      </c>
      <c r="E29" s="295">
        <v>247817.52</v>
      </c>
      <c r="F29" s="295">
        <f>D29</f>
        <v>223135.2</v>
      </c>
      <c r="G29" s="84">
        <f t="shared" si="1"/>
        <v>-24682.319999999978</v>
      </c>
    </row>
    <row r="30" spans="1:7" ht="15">
      <c r="A30" s="141" t="s">
        <v>42</v>
      </c>
      <c r="B30" s="141" t="s">
        <v>143</v>
      </c>
      <c r="C30" s="294" t="s">
        <v>381</v>
      </c>
      <c r="D30" s="295">
        <v>366077.04</v>
      </c>
      <c r="E30" s="295">
        <v>411581.72</v>
      </c>
      <c r="F30" s="295">
        <f>D30</f>
        <v>366077.04</v>
      </c>
      <c r="G30" s="84">
        <f t="shared" si="1"/>
        <v>-45504.67999999999</v>
      </c>
    </row>
    <row r="31" spans="1:7" ht="15">
      <c r="A31" s="141" t="s">
        <v>41</v>
      </c>
      <c r="B31" s="141" t="s">
        <v>43</v>
      </c>
      <c r="C31" s="293" t="s">
        <v>380</v>
      </c>
      <c r="D31" s="295">
        <v>839304.57</v>
      </c>
      <c r="E31" s="295">
        <v>839490.14</v>
      </c>
      <c r="F31" s="295">
        <f>D31</f>
        <v>839304.57</v>
      </c>
      <c r="G31" s="84">
        <f t="shared" si="1"/>
        <v>-185.5700000000652</v>
      </c>
    </row>
    <row r="32" spans="1:9" s="102" customFormat="1" ht="16.5" customHeight="1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</row>
    <row r="33" spans="1:9" s="67" customFormat="1" ht="15.75" thickBot="1">
      <c r="A33" s="378" t="s">
        <v>383</v>
      </c>
      <c r="B33" s="379"/>
      <c r="C33" s="379"/>
      <c r="D33" s="65">
        <v>1266616.33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133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386</v>
      </c>
      <c r="B35" s="64"/>
      <c r="C35" s="134"/>
      <c r="D35" s="69"/>
      <c r="E35" s="70"/>
      <c r="F35" s="70"/>
      <c r="G35" s="146">
        <f>G13+E26-F26</f>
        <v>14969.739999999998</v>
      </c>
      <c r="H35" s="62"/>
      <c r="I35" s="62"/>
    </row>
    <row r="36" spans="1:16" s="67" customFormat="1" ht="15.75" thickBot="1">
      <c r="A36" s="63" t="s">
        <v>387</v>
      </c>
      <c r="B36" s="64"/>
      <c r="C36" s="134"/>
      <c r="D36" s="69"/>
      <c r="E36" s="70"/>
      <c r="F36" s="70"/>
      <c r="G36" s="146">
        <f>G14+E25-F25</f>
        <v>60145.8612</v>
      </c>
      <c r="H36" s="62"/>
      <c r="I36" s="62"/>
      <c r="P36" s="147"/>
    </row>
    <row r="37" spans="1:13" s="102" customFormat="1" ht="9.75" customHeight="1">
      <c r="A37" s="104"/>
      <c r="B37" s="104"/>
      <c r="C37" s="148"/>
      <c r="D37" s="104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1" ht="23.25" customHeight="1">
      <c r="A38" s="367" t="s">
        <v>44</v>
      </c>
      <c r="B38" s="367"/>
      <c r="C38" s="367"/>
      <c r="D38" s="367"/>
      <c r="E38" s="367"/>
      <c r="F38" s="367"/>
      <c r="G38" s="367"/>
      <c r="H38" s="149"/>
      <c r="I38" s="149"/>
      <c r="J38" s="149"/>
      <c r="K38" s="149"/>
    </row>
    <row r="40" spans="1:12" s="74" customFormat="1" ht="37.5" customHeight="1">
      <c r="A40" s="72" t="s">
        <v>11</v>
      </c>
      <c r="B40" s="380" t="s">
        <v>45</v>
      </c>
      <c r="C40" s="381"/>
      <c r="D40" s="382"/>
      <c r="E40" s="72" t="s">
        <v>170</v>
      </c>
      <c r="F40" s="72" t="s">
        <v>169</v>
      </c>
      <c r="G40" s="72" t="s">
        <v>46</v>
      </c>
      <c r="L40" s="108"/>
    </row>
    <row r="41" spans="1:12" s="115" customFormat="1" ht="15" customHeight="1">
      <c r="A41" s="109" t="s">
        <v>47</v>
      </c>
      <c r="B41" s="372" t="s">
        <v>114</v>
      </c>
      <c r="C41" s="373"/>
      <c r="D41" s="374"/>
      <c r="E41" s="111"/>
      <c r="F41" s="111"/>
      <c r="G41" s="112">
        <f>SUM(G42:O52)</f>
        <v>90922.3385</v>
      </c>
      <c r="L41" s="116"/>
    </row>
    <row r="42" spans="1:12" ht="15.75" customHeight="1">
      <c r="A42" s="141" t="s">
        <v>16</v>
      </c>
      <c r="B42" s="375" t="s">
        <v>502</v>
      </c>
      <c r="C42" s="376"/>
      <c r="D42" s="377"/>
      <c r="E42" s="153" t="s">
        <v>258</v>
      </c>
      <c r="F42" s="154"/>
      <c r="G42" s="155">
        <v>2081.8</v>
      </c>
      <c r="L42" s="120"/>
    </row>
    <row r="43" spans="1:12" ht="15.75" customHeight="1">
      <c r="A43" s="141" t="s">
        <v>18</v>
      </c>
      <c r="B43" s="375" t="s">
        <v>518</v>
      </c>
      <c r="C43" s="376"/>
      <c r="D43" s="377"/>
      <c r="E43" s="153" t="s">
        <v>248</v>
      </c>
      <c r="F43" s="154">
        <v>3</v>
      </c>
      <c r="G43" s="155">
        <v>158.01</v>
      </c>
      <c r="L43" s="120"/>
    </row>
    <row r="44" spans="1:12" ht="15.75" customHeight="1">
      <c r="A44" s="141" t="s">
        <v>20</v>
      </c>
      <c r="B44" s="375" t="s">
        <v>503</v>
      </c>
      <c r="C44" s="376"/>
      <c r="D44" s="377"/>
      <c r="E44" s="153" t="s">
        <v>248</v>
      </c>
      <c r="F44" s="154">
        <v>4</v>
      </c>
      <c r="G44" s="155">
        <v>1873.4</v>
      </c>
      <c r="L44" s="120"/>
    </row>
    <row r="45" spans="1:12" ht="15.75" customHeight="1">
      <c r="A45" s="141" t="s">
        <v>22</v>
      </c>
      <c r="B45" s="375" t="s">
        <v>504</v>
      </c>
      <c r="C45" s="376"/>
      <c r="D45" s="377"/>
      <c r="E45" s="153" t="s">
        <v>248</v>
      </c>
      <c r="F45" s="154">
        <v>5</v>
      </c>
      <c r="G45" s="155">
        <v>348.5</v>
      </c>
      <c r="L45" s="120"/>
    </row>
    <row r="46" spans="1:12" ht="15.75" customHeight="1">
      <c r="A46" s="141" t="s">
        <v>24</v>
      </c>
      <c r="B46" s="150" t="s">
        <v>286</v>
      </c>
      <c r="C46" s="151"/>
      <c r="D46" s="152"/>
      <c r="E46" s="153" t="s">
        <v>505</v>
      </c>
      <c r="F46" s="154">
        <v>0.01</v>
      </c>
      <c r="G46" s="155">
        <v>2735.68</v>
      </c>
      <c r="L46" s="120"/>
    </row>
    <row r="47" spans="1:12" ht="24" customHeight="1">
      <c r="A47" s="141" t="s">
        <v>106</v>
      </c>
      <c r="B47" s="375" t="s">
        <v>506</v>
      </c>
      <c r="C47" s="376"/>
      <c r="D47" s="377"/>
      <c r="E47" s="153" t="s">
        <v>248</v>
      </c>
      <c r="F47" s="154">
        <v>1</v>
      </c>
      <c r="G47" s="155">
        <v>30410</v>
      </c>
      <c r="L47" s="120"/>
    </row>
    <row r="48" spans="1:12" ht="24" customHeight="1">
      <c r="A48" s="141" t="s">
        <v>107</v>
      </c>
      <c r="B48" s="369" t="s">
        <v>507</v>
      </c>
      <c r="C48" s="370"/>
      <c r="D48" s="371"/>
      <c r="E48" s="153" t="s">
        <v>265</v>
      </c>
      <c r="F48" s="154">
        <v>0.1</v>
      </c>
      <c r="G48" s="155">
        <v>23499.45</v>
      </c>
      <c r="L48" s="120"/>
    </row>
    <row r="49" spans="1:12" ht="24" customHeight="1">
      <c r="A49" s="141" t="s">
        <v>120</v>
      </c>
      <c r="B49" s="369" t="s">
        <v>786</v>
      </c>
      <c r="C49" s="370"/>
      <c r="D49" s="371"/>
      <c r="E49" s="153"/>
      <c r="F49" s="154"/>
      <c r="G49" s="155">
        <v>16200</v>
      </c>
      <c r="L49" s="120"/>
    </row>
    <row r="50" spans="1:12" ht="15.75" customHeight="1">
      <c r="A50" s="141" t="s">
        <v>121</v>
      </c>
      <c r="B50" s="369" t="s">
        <v>787</v>
      </c>
      <c r="C50" s="370"/>
      <c r="D50" s="371"/>
      <c r="E50" s="153"/>
      <c r="F50" s="154"/>
      <c r="G50" s="155">
        <v>3000</v>
      </c>
      <c r="L50" s="120"/>
    </row>
    <row r="51" spans="1:12" ht="15.75" customHeight="1">
      <c r="A51" s="141" t="s">
        <v>122</v>
      </c>
      <c r="B51" s="369" t="s">
        <v>840</v>
      </c>
      <c r="C51" s="370"/>
      <c r="D51" s="371"/>
      <c r="E51" s="153"/>
      <c r="F51" s="154"/>
      <c r="G51" s="155">
        <v>10000</v>
      </c>
      <c r="L51" s="120"/>
    </row>
    <row r="52" spans="1:12" ht="15.75" customHeight="1">
      <c r="A52" s="141" t="s">
        <v>144</v>
      </c>
      <c r="B52" s="150" t="s">
        <v>197</v>
      </c>
      <c r="C52" s="151"/>
      <c r="D52" s="152"/>
      <c r="E52" s="153"/>
      <c r="F52" s="154"/>
      <c r="G52" s="155">
        <f>E25*1%</f>
        <v>615.4985</v>
      </c>
      <c r="L52" s="120"/>
    </row>
    <row r="53" spans="2:6" ht="13.5" customHeight="1">
      <c r="B53" s="156"/>
      <c r="D53" s="156"/>
      <c r="E53" s="156"/>
      <c r="F53" s="156"/>
    </row>
    <row r="54" spans="1:5" s="59" customFormat="1" ht="12.75">
      <c r="A54" s="59" t="s">
        <v>55</v>
      </c>
      <c r="C54" s="132" t="s">
        <v>49</v>
      </c>
      <c r="E54" s="59" t="s">
        <v>93</v>
      </c>
    </row>
    <row r="55" s="59" customFormat="1" ht="12.75">
      <c r="C55" s="132"/>
    </row>
    <row r="56" spans="3:6" s="67" customFormat="1" ht="15">
      <c r="C56" s="157"/>
      <c r="F56" s="128" t="s">
        <v>508</v>
      </c>
    </row>
    <row r="57" spans="1:3" s="59" customFormat="1" ht="9" customHeight="1">
      <c r="A57" s="59" t="s">
        <v>50</v>
      </c>
      <c r="C57" s="132"/>
    </row>
    <row r="58" spans="3:10" s="59" customFormat="1" ht="12.75">
      <c r="C58" s="132" t="s">
        <v>51</v>
      </c>
      <c r="G58" s="158"/>
      <c r="H58" s="158"/>
      <c r="I58" s="158"/>
      <c r="J58" s="158"/>
    </row>
    <row r="59" spans="3:9" s="59" customFormat="1" ht="12.75">
      <c r="C59" s="132"/>
      <c r="I59" s="59" t="s">
        <v>200</v>
      </c>
    </row>
    <row r="60" s="59" customFormat="1" ht="12.75">
      <c r="C60" s="132"/>
    </row>
  </sheetData>
  <sheetProtection/>
  <mergeCells count="21">
    <mergeCell ref="B49:D49"/>
    <mergeCell ref="A33:C33"/>
    <mergeCell ref="A38:G38"/>
    <mergeCell ref="B40:D40"/>
    <mergeCell ref="B48:D48"/>
    <mergeCell ref="B41:D41"/>
    <mergeCell ref="B42:D42"/>
    <mergeCell ref="B43:D43"/>
    <mergeCell ref="A11:K11"/>
    <mergeCell ref="B51:D51"/>
    <mergeCell ref="B44:D44"/>
    <mergeCell ref="B45:D45"/>
    <mergeCell ref="B47:D47"/>
    <mergeCell ref="B50:D50"/>
    <mergeCell ref="A32:F32"/>
    <mergeCell ref="A1:K1"/>
    <mergeCell ref="A2:K2"/>
    <mergeCell ref="A3:K3"/>
    <mergeCell ref="A5:K5"/>
    <mergeCell ref="A9:K9"/>
    <mergeCell ref="A10:K10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6"/>
  <sheetViews>
    <sheetView zoomScalePageLayoutView="0" workbookViewId="0" topLeftCell="A34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7.7109375" style="35" customWidth="1"/>
    <col min="3" max="3" width="13.28125" style="35" customWidth="1"/>
    <col min="4" max="4" width="13.140625" style="35" customWidth="1"/>
    <col min="5" max="5" width="13.8515625" style="35" customWidth="1"/>
    <col min="6" max="6" width="13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10.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7" spans="1:5" s="67" customFormat="1" ht="16.5" customHeight="1">
      <c r="A7" s="67" t="s">
        <v>2</v>
      </c>
      <c r="E7" s="128" t="s">
        <v>61</v>
      </c>
    </row>
    <row r="8" spans="1:10" s="67" customFormat="1" ht="15">
      <c r="A8" s="67" t="s">
        <v>3</v>
      </c>
      <c r="E8" s="299" t="s">
        <v>392</v>
      </c>
      <c r="I8" s="317">
        <v>637.7</v>
      </c>
      <c r="J8" s="317">
        <v>2545.8</v>
      </c>
    </row>
    <row r="9" s="67" customFormat="1" ht="8.2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'[1]Социалистическая 6'!$G$37</f>
        <v>86554.33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'[1]Социалистическая 6'!$G$38</f>
        <v>371309.30210000003</v>
      </c>
      <c r="H15" s="62"/>
      <c r="I15" s="62"/>
    </row>
    <row r="16" s="67" customFormat="1" ht="7.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169" customFormat="1" ht="28.5">
      <c r="A18" s="75" t="s">
        <v>14</v>
      </c>
      <c r="B18" s="41" t="s">
        <v>15</v>
      </c>
      <c r="C18" s="137">
        <f>C19+C20+C21+C22</f>
        <v>10.34</v>
      </c>
      <c r="D18" s="76">
        <v>312383.96</v>
      </c>
      <c r="E18" s="76">
        <v>306104.21</v>
      </c>
      <c r="F18" s="76">
        <f>D18</f>
        <v>312383.96</v>
      </c>
      <c r="G18" s="77">
        <f>D18-E18</f>
        <v>6279.75</v>
      </c>
      <c r="H18" s="78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104530.80286266927</v>
      </c>
      <c r="E19" s="83">
        <f>E18*I19</f>
        <v>102429.45518375243</v>
      </c>
      <c r="F19" s="83">
        <f>D19</f>
        <v>104530.80286266927</v>
      </c>
      <c r="G19" s="84">
        <f>D19-E19</f>
        <v>2101.3476789168344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51056.952843326886</v>
      </c>
      <c r="E20" s="83">
        <f>E18*I20</f>
        <v>50030.57204061896</v>
      </c>
      <c r="F20" s="83">
        <f>D20</f>
        <v>51056.952843326886</v>
      </c>
      <c r="G20" s="84">
        <f>D20-E20</f>
        <v>1026.3808027079285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64954.11160541587</v>
      </c>
      <c r="E21" s="83">
        <f>E18*I21</f>
        <v>63648.36088007737</v>
      </c>
      <c r="F21" s="83">
        <f>D21</f>
        <v>64954.11160541587</v>
      </c>
      <c r="G21" s="84">
        <f>D21-E21</f>
        <v>1305.7507253384974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91842.09268858802</v>
      </c>
      <c r="E22" s="83">
        <f>E18*I22</f>
        <v>89995.82189555127</v>
      </c>
      <c r="F22" s="83">
        <f>D22</f>
        <v>91842.09268858802</v>
      </c>
      <c r="G22" s="84">
        <f>D22-E22</f>
        <v>1846.270793036747</v>
      </c>
      <c r="H22" s="78">
        <f>C22</f>
        <v>3.04</v>
      </c>
      <c r="I22" s="67">
        <f>H22/H18</f>
        <v>0.2940038684719536</v>
      </c>
    </row>
    <row r="23" spans="1:7" s="39" customFormat="1" ht="14.25">
      <c r="A23" s="41" t="s">
        <v>25</v>
      </c>
      <c r="B23" s="142" t="s">
        <v>26</v>
      </c>
      <c r="C23" s="143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4.25">
      <c r="A24" s="41" t="s">
        <v>27</v>
      </c>
      <c r="B24" s="142" t="s">
        <v>28</v>
      </c>
      <c r="C24" s="143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2" t="s">
        <v>168</v>
      </c>
      <c r="C25" s="143">
        <v>12.54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7" s="39" customFormat="1" ht="14.25">
      <c r="A26" s="41" t="s">
        <v>31</v>
      </c>
      <c r="B26" s="142" t="s">
        <v>119</v>
      </c>
      <c r="C26" s="143">
        <v>10</v>
      </c>
      <c r="D26" s="77">
        <v>305506</v>
      </c>
      <c r="E26" s="77">
        <v>294055.34</v>
      </c>
      <c r="F26" s="76">
        <f>F43</f>
        <v>212301.5334</v>
      </c>
      <c r="G26" s="77">
        <f t="shared" si="1"/>
        <v>11450.659999999974</v>
      </c>
    </row>
    <row r="27" spans="1:7" s="39" customFormat="1" ht="14.25">
      <c r="A27" s="41" t="s">
        <v>33</v>
      </c>
      <c r="B27" s="136" t="s">
        <v>34</v>
      </c>
      <c r="C27" s="137">
        <v>0</v>
      </c>
      <c r="D27" s="77">
        <v>0</v>
      </c>
      <c r="E27" s="77">
        <v>0</v>
      </c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6" t="s">
        <v>36</v>
      </c>
      <c r="C28" s="137"/>
      <c r="D28" s="77">
        <f>SUM(D29:D32)</f>
        <v>1758734.1800000002</v>
      </c>
      <c r="E28" s="77">
        <f>SUM(E29:E32)</f>
        <v>1750768.0299999998</v>
      </c>
      <c r="F28" s="76">
        <f t="shared" si="0"/>
        <v>1758734.1800000002</v>
      </c>
      <c r="G28" s="77">
        <f t="shared" si="1"/>
        <v>7966.1500000003725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9056.38</v>
      </c>
      <c r="E29" s="84">
        <v>8948.6</v>
      </c>
      <c r="F29" s="83">
        <f>D29</f>
        <v>9056.38</v>
      </c>
      <c r="G29" s="84">
        <f t="shared" si="1"/>
        <v>107.77999999999884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313286.43</v>
      </c>
      <c r="E30" s="84">
        <v>312898.55</v>
      </c>
      <c r="F30" s="83">
        <f t="shared" si="0"/>
        <v>313286.43</v>
      </c>
      <c r="G30" s="84">
        <f t="shared" si="1"/>
        <v>387.88000000000466</v>
      </c>
    </row>
    <row r="31" spans="1:7" ht="15">
      <c r="A31" s="34" t="s">
        <v>42</v>
      </c>
      <c r="B31" s="34" t="s">
        <v>143</v>
      </c>
      <c r="C31" s="294" t="s">
        <v>414</v>
      </c>
      <c r="D31" s="84">
        <v>507278.27</v>
      </c>
      <c r="E31" s="84">
        <v>502922.49</v>
      </c>
      <c r="F31" s="83">
        <f t="shared" si="0"/>
        <v>507278.27</v>
      </c>
      <c r="G31" s="84">
        <f t="shared" si="1"/>
        <v>4355.780000000028</v>
      </c>
    </row>
    <row r="32" spans="1:7" ht="15">
      <c r="A32" s="34" t="s">
        <v>41</v>
      </c>
      <c r="B32" s="34" t="s">
        <v>43</v>
      </c>
      <c r="C32" s="293" t="s">
        <v>380</v>
      </c>
      <c r="D32" s="84">
        <v>929113.1</v>
      </c>
      <c r="E32" s="84">
        <v>925998.39</v>
      </c>
      <c r="F32" s="83">
        <f t="shared" si="0"/>
        <v>929113.1</v>
      </c>
      <c r="G32" s="84">
        <f t="shared" si="1"/>
        <v>3114.7099999999627</v>
      </c>
    </row>
    <row r="33" spans="1:10" s="102" customFormat="1" ht="18.75" customHeight="1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65">
        <v>1234916.35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86554.33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453063.1087000001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2:5" ht="9" customHeight="1">
      <c r="B39" s="156"/>
      <c r="C39" s="156"/>
      <c r="D39" s="156"/>
      <c r="E39" s="156"/>
    </row>
    <row r="40" spans="1:9" ht="25.5" customHeight="1">
      <c r="A40" s="367" t="s">
        <v>44</v>
      </c>
      <c r="B40" s="367"/>
      <c r="C40" s="367"/>
      <c r="D40" s="367"/>
      <c r="E40" s="367"/>
      <c r="F40" s="367"/>
      <c r="G40" s="367"/>
      <c r="H40" s="367"/>
      <c r="I40" s="367"/>
    </row>
    <row r="41" ht="5.25" customHeight="1"/>
    <row r="42" spans="1:7" s="173" customFormat="1" ht="28.5" customHeight="1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4"/>
    </row>
    <row r="43" spans="1:7" s="115" customFormat="1" ht="15" customHeight="1">
      <c r="A43" s="109" t="s">
        <v>47</v>
      </c>
      <c r="B43" s="396" t="s">
        <v>114</v>
      </c>
      <c r="C43" s="399"/>
      <c r="D43" s="174"/>
      <c r="E43" s="174"/>
      <c r="F43" s="411">
        <f>SUM(F44:G51)</f>
        <v>212301.5334</v>
      </c>
      <c r="G43" s="404"/>
    </row>
    <row r="44" spans="1:7" ht="15.75" customHeight="1">
      <c r="A44" s="34" t="s">
        <v>16</v>
      </c>
      <c r="B44" s="383" t="s">
        <v>521</v>
      </c>
      <c r="C44" s="400"/>
      <c r="D44" s="153" t="s">
        <v>237</v>
      </c>
      <c r="E44" s="153">
        <v>0.01</v>
      </c>
      <c r="F44" s="410">
        <v>6129.09</v>
      </c>
      <c r="G44" s="410"/>
    </row>
    <row r="45" spans="1:7" ht="15.75" customHeight="1">
      <c r="A45" s="34" t="s">
        <v>18</v>
      </c>
      <c r="B45" s="383" t="s">
        <v>349</v>
      </c>
      <c r="C45" s="400"/>
      <c r="D45" s="153" t="s">
        <v>171</v>
      </c>
      <c r="E45" s="153">
        <v>4</v>
      </c>
      <c r="F45" s="410">
        <v>169700</v>
      </c>
      <c r="G45" s="410"/>
    </row>
    <row r="46" spans="1:7" ht="15.75" customHeight="1">
      <c r="A46" s="34" t="s">
        <v>20</v>
      </c>
      <c r="B46" s="383" t="s">
        <v>522</v>
      </c>
      <c r="C46" s="400"/>
      <c r="D46" s="153" t="s">
        <v>241</v>
      </c>
      <c r="E46" s="153">
        <v>0.01</v>
      </c>
      <c r="F46" s="410">
        <v>2156.56</v>
      </c>
      <c r="G46" s="410"/>
    </row>
    <row r="47" spans="1:7" ht="15.75" customHeight="1">
      <c r="A47" s="34" t="s">
        <v>22</v>
      </c>
      <c r="B47" s="177" t="s">
        <v>605</v>
      </c>
      <c r="C47" s="346"/>
      <c r="D47" s="153" t="s">
        <v>240</v>
      </c>
      <c r="E47" s="153">
        <v>0.03</v>
      </c>
      <c r="F47" s="410">
        <v>6246.78</v>
      </c>
      <c r="G47" s="410"/>
    </row>
    <row r="48" spans="1:7" ht="24.75" customHeight="1">
      <c r="A48" s="34" t="s">
        <v>24</v>
      </c>
      <c r="B48" s="177" t="s">
        <v>606</v>
      </c>
      <c r="C48" s="346"/>
      <c r="D48" s="153" t="s">
        <v>241</v>
      </c>
      <c r="E48" s="153">
        <v>0.03</v>
      </c>
      <c r="F48" s="410">
        <v>9964.58</v>
      </c>
      <c r="G48" s="410"/>
    </row>
    <row r="49" spans="1:7" ht="15.75" customHeight="1">
      <c r="A49" s="34" t="s">
        <v>106</v>
      </c>
      <c r="B49" s="369" t="s">
        <v>546</v>
      </c>
      <c r="C49" s="415"/>
      <c r="D49" s="153" t="s">
        <v>240</v>
      </c>
      <c r="E49" s="154">
        <v>0.01</v>
      </c>
      <c r="F49" s="398">
        <v>5163.97</v>
      </c>
      <c r="G49" s="398"/>
    </row>
    <row r="50" spans="1:7" ht="15.75" customHeight="1">
      <c r="A50" s="34" t="s">
        <v>107</v>
      </c>
      <c r="B50" s="369" t="s">
        <v>840</v>
      </c>
      <c r="C50" s="415"/>
      <c r="D50" s="153"/>
      <c r="E50" s="154"/>
      <c r="F50" s="398">
        <v>10000</v>
      </c>
      <c r="G50" s="398"/>
    </row>
    <row r="51" spans="1:7" ht="15.75" customHeight="1">
      <c r="A51" s="34" t="s">
        <v>120</v>
      </c>
      <c r="B51" s="408" t="s">
        <v>198</v>
      </c>
      <c r="C51" s="409"/>
      <c r="D51" s="193"/>
      <c r="E51" s="193"/>
      <c r="F51" s="410">
        <f>E26*1%</f>
        <v>2940.5534000000002</v>
      </c>
      <c r="G51" s="410"/>
    </row>
    <row r="52" s="67" customFormat="1" ht="15"/>
    <row r="53" spans="1:6" s="67" customFormat="1" ht="15">
      <c r="A53" s="67" t="s">
        <v>55</v>
      </c>
      <c r="C53" s="67" t="s">
        <v>49</v>
      </c>
      <c r="F53" s="67" t="s">
        <v>93</v>
      </c>
    </row>
    <row r="54" s="67" customFormat="1" ht="13.5" customHeight="1">
      <c r="F54" s="128" t="s">
        <v>516</v>
      </c>
    </row>
    <row r="55" s="67" customFormat="1" ht="15">
      <c r="A55" s="67" t="s">
        <v>50</v>
      </c>
    </row>
    <row r="56" spans="3:7" s="67" customFormat="1" ht="15">
      <c r="C56" s="130" t="s">
        <v>51</v>
      </c>
      <c r="E56" s="130"/>
      <c r="F56" s="130"/>
      <c r="G56" s="130"/>
    </row>
    <row r="57" s="67" customFormat="1" ht="15"/>
    <row r="58" s="67" customFormat="1" ht="15"/>
  </sheetData>
  <sheetProtection/>
  <mergeCells count="28">
    <mergeCell ref="B49:C49"/>
    <mergeCell ref="F49:G49"/>
    <mergeCell ref="F46:G46"/>
    <mergeCell ref="A11:I11"/>
    <mergeCell ref="A40:I40"/>
    <mergeCell ref="A12:I12"/>
    <mergeCell ref="A34:C34"/>
    <mergeCell ref="A33:F33"/>
    <mergeCell ref="F47:G47"/>
    <mergeCell ref="F48:G48"/>
    <mergeCell ref="F45:G45"/>
    <mergeCell ref="B46:C46"/>
    <mergeCell ref="A1:I1"/>
    <mergeCell ref="A2:I2"/>
    <mergeCell ref="A5:I5"/>
    <mergeCell ref="A10:I10"/>
    <mergeCell ref="A3:K3"/>
    <mergeCell ref="F42:G42"/>
    <mergeCell ref="B50:C50"/>
    <mergeCell ref="F50:G50"/>
    <mergeCell ref="F51:G51"/>
    <mergeCell ref="F43:G43"/>
    <mergeCell ref="F44:G44"/>
    <mergeCell ref="B42:C42"/>
    <mergeCell ref="B43:C43"/>
    <mergeCell ref="B44:C44"/>
    <mergeCell ref="B51:C51"/>
    <mergeCell ref="B45:C45"/>
  </mergeCells>
  <printOptions/>
  <pageMargins left="0" right="0" top="0" bottom="0" header="0.31496062992125984" footer="0.31496062992125984"/>
  <pageSetup horizontalDpi="600" verticalDpi="600" orientation="portrait" paperSize="9" scale="97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"/>
  <sheetViews>
    <sheetView zoomScalePageLayoutView="0" workbookViewId="0" topLeftCell="A19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3.14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341</v>
      </c>
      <c r="H7" s="60"/>
    </row>
    <row r="8" spans="1:8" s="59" customFormat="1" ht="12.75">
      <c r="A8" s="59" t="s">
        <v>3</v>
      </c>
      <c r="F8" s="310" t="s">
        <v>342</v>
      </c>
      <c r="H8" s="280">
        <v>178.4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474</v>
      </c>
      <c r="B13" s="64"/>
      <c r="C13" s="64"/>
      <c r="D13" s="69"/>
      <c r="E13" s="70"/>
      <c r="F13" s="70"/>
      <c r="G13" s="315">
        <f>'[1]Кооперативная1дробь2'!$G$35</f>
        <v>12019.966199999999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945157.58</v>
      </c>
      <c r="E16" s="76">
        <v>911099.32</v>
      </c>
      <c r="F16" s="76">
        <f aca="true" t="shared" si="0" ref="F16:F22">D16</f>
        <v>945157.58</v>
      </c>
      <c r="G16" s="77">
        <f>D16-E16</f>
        <v>34058.26000000001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316271.29852998065</v>
      </c>
      <c r="E17" s="83">
        <f>E16*I17</f>
        <v>304874.62738878146</v>
      </c>
      <c r="F17" s="83">
        <f t="shared" si="0"/>
        <v>316271.29852998065</v>
      </c>
      <c r="G17" s="84">
        <f>D17-E17</f>
        <v>11396.671141199186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154479.33367504834</v>
      </c>
      <c r="E18" s="83">
        <f>E16*I18</f>
        <v>148912.75152804638</v>
      </c>
      <c r="F18" s="83">
        <f t="shared" si="0"/>
        <v>154479.33367504834</v>
      </c>
      <c r="G18" s="84">
        <f>E18-D18</f>
        <v>-5566.582147001958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2">
        <v>2.15</v>
      </c>
      <c r="D19" s="83">
        <f>D16*I19</f>
        <v>196526.96295938105</v>
      </c>
      <c r="E19" s="83">
        <f>E16*I19</f>
        <v>189445.2164410058</v>
      </c>
      <c r="F19" s="83">
        <f t="shared" si="0"/>
        <v>196526.96295938105</v>
      </c>
      <c r="G19" s="84">
        <f>D19-E19</f>
        <v>7081.746518375265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277879.98483558994</v>
      </c>
      <c r="E20" s="83">
        <f>E16*I20</f>
        <v>267866.72464216634</v>
      </c>
      <c r="F20" s="83">
        <f t="shared" si="0"/>
        <v>277879.98483558994</v>
      </c>
      <c r="G20" s="84">
        <f>D20-E20</f>
        <v>10013.2601934236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230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343</v>
      </c>
      <c r="C22" s="46">
        <v>2.2</v>
      </c>
      <c r="D22" s="87">
        <v>200167.44</v>
      </c>
      <c r="E22" s="87">
        <v>196315.3</v>
      </c>
      <c r="F22" s="87">
        <f t="shared" si="0"/>
        <v>200167.44</v>
      </c>
      <c r="G22" s="77">
        <f t="shared" si="1"/>
        <v>3852.140000000014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3.86</v>
      </c>
      <c r="D23" s="87">
        <v>346956.8</v>
      </c>
      <c r="E23" s="87">
        <v>340019.74</v>
      </c>
      <c r="F23" s="87">
        <v>0</v>
      </c>
      <c r="G23" s="77">
        <f t="shared" si="1"/>
        <v>6937.059999999998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2.06</v>
      </c>
      <c r="D24" s="87">
        <v>185306.68</v>
      </c>
      <c r="E24" s="87">
        <v>181610.56</v>
      </c>
      <c r="F24" s="87">
        <f>F38</f>
        <v>21855.6556</v>
      </c>
      <c r="G24" s="77">
        <f t="shared" si="1"/>
        <v>3696.1199999999953</v>
      </c>
      <c r="H24" s="88"/>
      <c r="I24" s="88"/>
      <c r="J24" s="88"/>
      <c r="K24" s="88"/>
    </row>
    <row r="25" spans="1:11" ht="25.5">
      <c r="A25" s="41" t="s">
        <v>33</v>
      </c>
      <c r="B25" s="41" t="s">
        <v>168</v>
      </c>
      <c r="C25" s="97" t="s">
        <v>475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4139169.0200000005</v>
      </c>
      <c r="E26" s="77">
        <f>SUM(E27:E30)</f>
        <v>4106881.9299999997</v>
      </c>
      <c r="F26" s="77">
        <f>SUM(F27:F30)</f>
        <v>4139169.0200000005</v>
      </c>
      <c r="G26" s="77">
        <f t="shared" si="1"/>
        <v>32287.090000000782</v>
      </c>
      <c r="H26" s="98"/>
      <c r="I26" s="98"/>
      <c r="J26" s="98"/>
      <c r="K26" s="98"/>
    </row>
    <row r="27" spans="1:7" ht="15">
      <c r="A27" s="34" t="s">
        <v>37</v>
      </c>
      <c r="B27" s="34" t="s">
        <v>285</v>
      </c>
      <c r="C27" s="293" t="s">
        <v>379</v>
      </c>
      <c r="D27" s="84">
        <v>1029933.13</v>
      </c>
      <c r="E27" s="84">
        <v>1028282.77</v>
      </c>
      <c r="F27" s="84">
        <f>D27</f>
        <v>1029933.13</v>
      </c>
      <c r="G27" s="84">
        <f t="shared" si="1"/>
        <v>1650.359999999986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503736.17</v>
      </c>
      <c r="E28" s="84">
        <v>531493.07</v>
      </c>
      <c r="F28" s="84">
        <f>D28</f>
        <v>503736.17</v>
      </c>
      <c r="G28" s="84">
        <f t="shared" si="1"/>
        <v>-27756.899999999965</v>
      </c>
    </row>
    <row r="29" spans="1:7" ht="15">
      <c r="A29" s="34" t="s">
        <v>42</v>
      </c>
      <c r="B29" s="51" t="s">
        <v>143</v>
      </c>
      <c r="C29" s="294" t="s">
        <v>414</v>
      </c>
      <c r="D29" s="84">
        <v>709527.52</v>
      </c>
      <c r="E29" s="84">
        <v>691014.07</v>
      </c>
      <c r="F29" s="84">
        <f>D29</f>
        <v>709527.52</v>
      </c>
      <c r="G29" s="84">
        <f t="shared" si="1"/>
        <v>18513.45000000007</v>
      </c>
    </row>
    <row r="30" spans="1:7" s="279" customFormat="1" ht="15">
      <c r="A30" s="274" t="s">
        <v>41</v>
      </c>
      <c r="B30" s="274" t="s">
        <v>43</v>
      </c>
      <c r="C30" s="294" t="s">
        <v>380</v>
      </c>
      <c r="D30" s="216">
        <v>1895972.2</v>
      </c>
      <c r="E30" s="216">
        <v>1856092.02</v>
      </c>
      <c r="F30" s="216">
        <f>D30</f>
        <v>1895972.2</v>
      </c>
      <c r="G30" s="84">
        <f t="shared" si="1"/>
        <v>39880.179999999935</v>
      </c>
    </row>
    <row r="31" spans="1:9" s="102" customFormat="1" ht="16.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315">
        <v>1094287.47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316">
        <f>G13+E24-F24</f>
        <v>171774.8706</v>
      </c>
      <c r="H34" s="62"/>
      <c r="I34" s="62"/>
    </row>
    <row r="35" spans="1:11" ht="31.5" customHeight="1">
      <c r="A35" s="509" t="s">
        <v>189</v>
      </c>
      <c r="B35" s="510"/>
      <c r="C35" s="510"/>
      <c r="D35" s="510"/>
      <c r="E35" s="510"/>
      <c r="F35" s="510"/>
      <c r="G35" s="510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2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SUM(F39:G43)</f>
        <v>21855.6556</v>
      </c>
      <c r="G38" s="404"/>
      <c r="H38" s="253"/>
      <c r="I38" s="254"/>
      <c r="L38" s="116"/>
    </row>
    <row r="39" spans="1:12" s="115" customFormat="1" ht="15" customHeight="1">
      <c r="A39" s="81" t="s">
        <v>16</v>
      </c>
      <c r="B39" s="528" t="s">
        <v>286</v>
      </c>
      <c r="C39" s="529"/>
      <c r="D39" s="197" t="s">
        <v>241</v>
      </c>
      <c r="E39" s="197">
        <v>0.01</v>
      </c>
      <c r="F39" s="410">
        <v>6228.04</v>
      </c>
      <c r="G39" s="410"/>
      <c r="H39" s="113"/>
      <c r="I39" s="114"/>
      <c r="L39" s="116"/>
    </row>
    <row r="40" spans="1:12" s="115" customFormat="1" ht="15" customHeight="1">
      <c r="A40" s="81" t="s">
        <v>18</v>
      </c>
      <c r="B40" s="528" t="s">
        <v>725</v>
      </c>
      <c r="C40" s="529"/>
      <c r="D40" s="197" t="s">
        <v>505</v>
      </c>
      <c r="E40" s="197">
        <v>0.01</v>
      </c>
      <c r="F40" s="410">
        <v>1454.26</v>
      </c>
      <c r="G40" s="410"/>
      <c r="H40" s="113"/>
      <c r="I40" s="114"/>
      <c r="L40" s="116"/>
    </row>
    <row r="41" spans="1:12" s="115" customFormat="1" ht="15" customHeight="1">
      <c r="A41" s="81" t="s">
        <v>20</v>
      </c>
      <c r="B41" s="528" t="s">
        <v>286</v>
      </c>
      <c r="C41" s="529"/>
      <c r="D41" s="197" t="s">
        <v>241</v>
      </c>
      <c r="E41" s="197">
        <v>0.01</v>
      </c>
      <c r="F41" s="410">
        <v>7757.25</v>
      </c>
      <c r="G41" s="410"/>
      <c r="H41" s="113"/>
      <c r="I41" s="114"/>
      <c r="L41" s="116"/>
    </row>
    <row r="42" spans="1:12" s="115" customFormat="1" ht="15" customHeight="1">
      <c r="A42" s="81" t="s">
        <v>22</v>
      </c>
      <c r="B42" s="528" t="s">
        <v>726</v>
      </c>
      <c r="C42" s="529"/>
      <c r="D42" s="197" t="s">
        <v>171</v>
      </c>
      <c r="E42" s="197">
        <v>1</v>
      </c>
      <c r="F42" s="410">
        <v>4600</v>
      </c>
      <c r="G42" s="410"/>
      <c r="H42" s="113"/>
      <c r="I42" s="114"/>
      <c r="L42" s="116"/>
    </row>
    <row r="43" spans="1:11" s="67" customFormat="1" ht="15">
      <c r="A43" s="34" t="s">
        <v>24</v>
      </c>
      <c r="B43" s="408" t="s">
        <v>198</v>
      </c>
      <c r="C43" s="409"/>
      <c r="D43" s="125"/>
      <c r="E43" s="125"/>
      <c r="F43" s="410">
        <f>E24*1%</f>
        <v>1816.1056</v>
      </c>
      <c r="G43" s="410"/>
      <c r="H43" s="59"/>
      <c r="I43" s="59"/>
      <c r="J43" s="59"/>
      <c r="K43" s="59"/>
    </row>
    <row r="44" s="59" customFormat="1" ht="9" customHeight="1"/>
    <row r="45" spans="1:11" s="59" customFormat="1" ht="15">
      <c r="A45" s="67" t="s">
        <v>55</v>
      </c>
      <c r="B45" s="67"/>
      <c r="C45" s="127" t="s">
        <v>49</v>
      </c>
      <c r="D45" s="67"/>
      <c r="E45" s="67"/>
      <c r="F45" s="67" t="s">
        <v>93</v>
      </c>
      <c r="G45" s="67"/>
      <c r="H45" s="67"/>
      <c r="I45" s="67"/>
      <c r="J45" s="67"/>
      <c r="K45" s="67"/>
    </row>
    <row r="46" spans="1:7" s="59" customFormat="1" ht="15">
      <c r="A46" s="67"/>
      <c r="B46" s="67"/>
      <c r="C46" s="127"/>
      <c r="D46" s="67"/>
      <c r="E46" s="67"/>
      <c r="F46" s="128" t="s">
        <v>516</v>
      </c>
      <c r="G46" s="67"/>
    </row>
    <row r="47" spans="1:10" s="59" customFormat="1" ht="15">
      <c r="A47" s="67" t="s">
        <v>50</v>
      </c>
      <c r="B47" s="67"/>
      <c r="C47" s="127"/>
      <c r="D47" s="67"/>
      <c r="E47" s="67"/>
      <c r="F47" s="67"/>
      <c r="G47" s="67"/>
      <c r="H47" s="158"/>
      <c r="I47" s="158"/>
      <c r="J47" s="158"/>
    </row>
    <row r="48" spans="1:11" ht="15">
      <c r="A48" s="67"/>
      <c r="B48" s="67"/>
      <c r="C48" s="129" t="s">
        <v>51</v>
      </c>
      <c r="D48" s="67"/>
      <c r="E48" s="130"/>
      <c r="F48" s="130"/>
      <c r="G48" s="130"/>
      <c r="H48" s="59"/>
      <c r="I48" s="59"/>
      <c r="J48" s="59"/>
      <c r="K48" s="59"/>
    </row>
    <row r="49" spans="1:11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</sheetData>
  <sheetProtection/>
  <mergeCells count="24">
    <mergeCell ref="A1:K1"/>
    <mergeCell ref="A2:K2"/>
    <mergeCell ref="A3:K3"/>
    <mergeCell ref="A5:K5"/>
    <mergeCell ref="A9:K9"/>
    <mergeCell ref="A10:K10"/>
    <mergeCell ref="B43:C43"/>
    <mergeCell ref="F43:G43"/>
    <mergeCell ref="B38:C38"/>
    <mergeCell ref="F38:G38"/>
    <mergeCell ref="A11:K11"/>
    <mergeCell ref="A32:C32"/>
    <mergeCell ref="A35:G35"/>
    <mergeCell ref="B37:C37"/>
    <mergeCell ref="F37:G37"/>
    <mergeCell ref="A31:F31"/>
    <mergeCell ref="B39:C39"/>
    <mergeCell ref="B40:C40"/>
    <mergeCell ref="B41:C41"/>
    <mergeCell ref="B42:C42"/>
    <mergeCell ref="F39:G39"/>
    <mergeCell ref="F40:G40"/>
    <mergeCell ref="F41:G41"/>
    <mergeCell ref="F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7030A0"/>
  </sheetPr>
  <dimension ref="A1:N47"/>
  <sheetViews>
    <sheetView zoomScalePageLayoutView="0" workbookViewId="0" topLeftCell="A31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9" s="59" customFormat="1" ht="16.5" customHeight="1">
      <c r="A7" s="59" t="s">
        <v>2</v>
      </c>
      <c r="F7" s="60" t="s">
        <v>480</v>
      </c>
      <c r="H7" s="60"/>
      <c r="I7" s="59">
        <f>43+15.1</f>
        <v>58.1</v>
      </c>
    </row>
    <row r="8" spans="1:10" s="59" customFormat="1" ht="12.75">
      <c r="A8" s="59" t="s">
        <v>3</v>
      </c>
      <c r="F8" s="310" t="s">
        <v>481</v>
      </c>
      <c r="H8" s="313">
        <f>I7+I8+J8</f>
        <v>3337.3999999999996</v>
      </c>
      <c r="I8" s="61">
        <v>1033.7</v>
      </c>
      <c r="J8" s="61">
        <v>2245.6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v>0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9.121</v>
      </c>
      <c r="D16" s="76">
        <v>81942.16</v>
      </c>
      <c r="E16" s="76">
        <v>59265.41</v>
      </c>
      <c r="F16" s="76">
        <f aca="true" t="shared" si="0" ref="F16:F22">D16</f>
        <v>81942.16</v>
      </c>
      <c r="G16" s="77">
        <f>D16-E16</f>
        <v>22676.75</v>
      </c>
      <c r="H16" s="78">
        <f>C16</f>
        <v>9.121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31084.2970726894</v>
      </c>
      <c r="E17" s="83">
        <f>E16*I17</f>
        <v>22481.999627233858</v>
      </c>
      <c r="F17" s="83">
        <f t="shared" si="0"/>
        <v>31084.2970726894</v>
      </c>
      <c r="G17" s="84">
        <f>D17-E17</f>
        <v>8602.29744545554</v>
      </c>
      <c r="H17" s="78">
        <f>C17</f>
        <v>3.46</v>
      </c>
      <c r="I17" s="59">
        <f>H17/H16</f>
        <v>0.3793443701348536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15182.792500822277</v>
      </c>
      <c r="E18" s="83">
        <f>E16*I18</f>
        <v>10981.092303475496</v>
      </c>
      <c r="F18" s="83">
        <f t="shared" si="0"/>
        <v>15182.792500822277</v>
      </c>
      <c r="G18" s="84">
        <f>D18-E18</f>
        <v>4201.700197346781</v>
      </c>
      <c r="H18" s="78">
        <f>C18</f>
        <v>1.69</v>
      </c>
      <c r="I18" s="59">
        <f>H18/H16</f>
        <v>0.18528670101962502</v>
      </c>
    </row>
    <row r="19" spans="1:9" s="59" customFormat="1" ht="15">
      <c r="A19" s="81" t="s">
        <v>20</v>
      </c>
      <c r="B19" s="34" t="s">
        <v>21</v>
      </c>
      <c r="C19" s="82">
        <v>1.778</v>
      </c>
      <c r="D19" s="83">
        <f>D16*I19</f>
        <v>15973.375778971606</v>
      </c>
      <c r="E19" s="83">
        <f>E16*I19</f>
        <v>11552.888825786647</v>
      </c>
      <c r="F19" s="83">
        <f t="shared" si="0"/>
        <v>15973.375778971606</v>
      </c>
      <c r="G19" s="84">
        <f>D19-E19</f>
        <v>4420.486953184958</v>
      </c>
      <c r="H19" s="78">
        <v>1.778</v>
      </c>
      <c r="I19" s="59">
        <f>H19/H16</f>
        <v>0.19493476592478895</v>
      </c>
    </row>
    <row r="20" spans="1:9" s="59" customFormat="1" ht="15">
      <c r="A20" s="81" t="s">
        <v>22</v>
      </c>
      <c r="B20" s="34" t="s">
        <v>23</v>
      </c>
      <c r="C20" s="82">
        <f>2.183+0.01</f>
        <v>2.1929999999999996</v>
      </c>
      <c r="D20" s="83">
        <f>D16*I20</f>
        <v>19611.855638636112</v>
      </c>
      <c r="E20" s="83">
        <f>E16*I20</f>
        <v>14184.452365968644</v>
      </c>
      <c r="F20" s="83">
        <f t="shared" si="0"/>
        <v>19611.855638636112</v>
      </c>
      <c r="G20" s="84">
        <f>D20-E20</f>
        <v>5427.403272667469</v>
      </c>
      <c r="H20" s="78">
        <v>2.183</v>
      </c>
      <c r="I20" s="59">
        <f>H20/H16</f>
        <v>0.2393377919087819</v>
      </c>
    </row>
    <row r="21" spans="1:11" s="89" customFormat="1" ht="14.25">
      <c r="A21" s="86" t="s">
        <v>25</v>
      </c>
      <c r="B21" s="86" t="s">
        <v>230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25.5">
      <c r="A22" s="86" t="s">
        <v>27</v>
      </c>
      <c r="B22" s="86" t="s">
        <v>483</v>
      </c>
      <c r="C22" s="46" t="s">
        <v>482</v>
      </c>
      <c r="D22" s="87">
        <v>15640</v>
      </c>
      <c r="E22" s="87">
        <v>9660.86</v>
      </c>
      <c r="F22" s="87">
        <f t="shared" si="0"/>
        <v>15640</v>
      </c>
      <c r="G22" s="77">
        <f t="shared" si="1"/>
        <v>5979.139999999999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5</v>
      </c>
      <c r="D24" s="87">
        <v>44912</v>
      </c>
      <c r="E24" s="87">
        <v>33994.89</v>
      </c>
      <c r="F24" s="87">
        <f>F38</f>
        <v>22131.9489</v>
      </c>
      <c r="G24" s="77">
        <f t="shared" si="1"/>
        <v>10917.11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10013.8</v>
      </c>
      <c r="E26" s="77">
        <f>SUM(E27:E30)</f>
        <v>6682.05</v>
      </c>
      <c r="F26" s="77">
        <f>SUM(F27:F30)</f>
        <v>10013.8</v>
      </c>
      <c r="G26" s="77">
        <f t="shared" si="1"/>
        <v>3331.749999999999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>
        <v>5.3</v>
      </c>
      <c r="D27" s="84">
        <v>4961.08</v>
      </c>
      <c r="E27" s="84">
        <v>2997.32</v>
      </c>
      <c r="F27" s="84">
        <f>D27</f>
        <v>4961.08</v>
      </c>
      <c r="G27" s="84">
        <f t="shared" si="1"/>
        <v>1963.7599999999998</v>
      </c>
    </row>
    <row r="28" spans="1:7" ht="15">
      <c r="A28" s="34" t="s">
        <v>39</v>
      </c>
      <c r="B28" s="34" t="s">
        <v>142</v>
      </c>
      <c r="C28" s="293">
        <v>50.85</v>
      </c>
      <c r="D28" s="84">
        <v>758.8</v>
      </c>
      <c r="E28" s="84">
        <v>1090.47</v>
      </c>
      <c r="F28" s="84">
        <f>D28</f>
        <v>758.8</v>
      </c>
      <c r="G28" s="84">
        <f t="shared" si="1"/>
        <v>-331.6700000000001</v>
      </c>
    </row>
    <row r="29" spans="1:7" ht="15">
      <c r="A29" s="34" t="s">
        <v>42</v>
      </c>
      <c r="B29" s="51" t="s">
        <v>143</v>
      </c>
      <c r="C29" s="294">
        <v>190.49</v>
      </c>
      <c r="D29" s="84">
        <v>4293.92</v>
      </c>
      <c r="E29" s="84">
        <v>2594.26</v>
      </c>
      <c r="F29" s="84">
        <f>D29</f>
        <v>4293.92</v>
      </c>
      <c r="G29" s="84">
        <f t="shared" si="1"/>
        <v>1699.6599999999999</v>
      </c>
    </row>
    <row r="30" spans="1:7" s="279" customFormat="1" ht="15">
      <c r="A30" s="274" t="s">
        <v>41</v>
      </c>
      <c r="B30" s="274" t="s">
        <v>43</v>
      </c>
      <c r="C30" s="145">
        <v>0</v>
      </c>
      <c r="D30" s="216">
        <v>0</v>
      </c>
      <c r="E30" s="216">
        <v>0</v>
      </c>
      <c r="F30" s="216">
        <f>D30</f>
        <v>0</v>
      </c>
      <c r="G30" s="84">
        <f t="shared" si="1"/>
        <v>0</v>
      </c>
    </row>
    <row r="31" spans="1:9" s="102" customFormat="1" ht="19.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288">
        <v>258876.45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11862.9411</v>
      </c>
      <c r="H34" s="62"/>
      <c r="I34" s="62"/>
    </row>
    <row r="35" spans="1:11" ht="31.5" customHeight="1">
      <c r="A35" s="509" t="s">
        <v>189</v>
      </c>
      <c r="B35" s="510"/>
      <c r="C35" s="510"/>
      <c r="D35" s="510"/>
      <c r="E35" s="510"/>
      <c r="F35" s="510"/>
      <c r="G35" s="510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2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SUM(F39:G41)</f>
        <v>22131.9489</v>
      </c>
      <c r="G38" s="404"/>
      <c r="H38" s="253"/>
      <c r="I38" s="254"/>
      <c r="L38" s="116"/>
    </row>
    <row r="39" spans="1:12" ht="15">
      <c r="A39" s="34" t="s">
        <v>16</v>
      </c>
      <c r="B39" s="369" t="s">
        <v>727</v>
      </c>
      <c r="C39" s="371"/>
      <c r="D39" s="119" t="s">
        <v>248</v>
      </c>
      <c r="E39" s="119">
        <v>1</v>
      </c>
      <c r="F39" s="455">
        <v>17792</v>
      </c>
      <c r="G39" s="456"/>
      <c r="H39" s="255"/>
      <c r="I39" s="256"/>
      <c r="L39" s="120"/>
    </row>
    <row r="40" spans="1:12" ht="15">
      <c r="A40" s="34" t="s">
        <v>18</v>
      </c>
      <c r="B40" s="369" t="s">
        <v>789</v>
      </c>
      <c r="C40" s="371"/>
      <c r="D40" s="119"/>
      <c r="E40" s="119"/>
      <c r="F40" s="455">
        <v>4000</v>
      </c>
      <c r="G40" s="456"/>
      <c r="H40" s="40"/>
      <c r="I40" s="40"/>
      <c r="L40" s="120"/>
    </row>
    <row r="41" spans="1:11" s="67" customFormat="1" ht="15">
      <c r="A41" s="34" t="s">
        <v>20</v>
      </c>
      <c r="B41" s="408" t="s">
        <v>198</v>
      </c>
      <c r="C41" s="409"/>
      <c r="D41" s="125"/>
      <c r="E41" s="125"/>
      <c r="F41" s="410">
        <f>E24*1%</f>
        <v>339.9489</v>
      </c>
      <c r="G41" s="410"/>
      <c r="H41" s="59"/>
      <c r="I41" s="59"/>
      <c r="J41" s="59"/>
      <c r="K41" s="59"/>
    </row>
    <row r="42" s="59" customFormat="1" ht="9" customHeight="1"/>
    <row r="43" spans="1:11" s="59" customFormat="1" ht="15">
      <c r="A43" s="67" t="s">
        <v>55</v>
      </c>
      <c r="B43" s="67"/>
      <c r="C43" s="127" t="s">
        <v>49</v>
      </c>
      <c r="D43" s="67"/>
      <c r="E43" s="67"/>
      <c r="F43" s="67" t="s">
        <v>93</v>
      </c>
      <c r="G43" s="67"/>
      <c r="H43" s="67"/>
      <c r="I43" s="67"/>
      <c r="J43" s="67"/>
      <c r="K43" s="67"/>
    </row>
    <row r="44" spans="1:7" s="59" customFormat="1" ht="15">
      <c r="A44" s="67"/>
      <c r="B44" s="67"/>
      <c r="C44" s="127"/>
      <c r="D44" s="67"/>
      <c r="E44" s="67"/>
      <c r="F44" s="128" t="s">
        <v>516</v>
      </c>
      <c r="G44" s="67"/>
    </row>
    <row r="45" spans="1:10" s="59" customFormat="1" ht="15">
      <c r="A45" s="67" t="s">
        <v>50</v>
      </c>
      <c r="B45" s="67"/>
      <c r="C45" s="127"/>
      <c r="D45" s="67"/>
      <c r="E45" s="67"/>
      <c r="F45" s="67"/>
      <c r="G45" s="67"/>
      <c r="H45" s="158"/>
      <c r="I45" s="158"/>
      <c r="J45" s="158"/>
    </row>
    <row r="46" spans="1:11" ht="15">
      <c r="A46" s="67"/>
      <c r="B46" s="67"/>
      <c r="C46" s="129" t="s">
        <v>51</v>
      </c>
      <c r="D46" s="67"/>
      <c r="E46" s="130"/>
      <c r="F46" s="130"/>
      <c r="G46" s="130"/>
      <c r="H46" s="59"/>
      <c r="I46" s="59"/>
      <c r="J46" s="59"/>
      <c r="K46" s="59"/>
    </row>
    <row r="47" spans="1:11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</row>
  </sheetData>
  <sheetProtection/>
  <mergeCells count="20">
    <mergeCell ref="A1:K1"/>
    <mergeCell ref="A2:K2"/>
    <mergeCell ref="A3:K3"/>
    <mergeCell ref="A5:K5"/>
    <mergeCell ref="A9:K9"/>
    <mergeCell ref="A10:K10"/>
    <mergeCell ref="A11:K11"/>
    <mergeCell ref="A31:F31"/>
    <mergeCell ref="A32:C32"/>
    <mergeCell ref="A35:G35"/>
    <mergeCell ref="B37:C37"/>
    <mergeCell ref="F37:G37"/>
    <mergeCell ref="B41:C41"/>
    <mergeCell ref="F41:G41"/>
    <mergeCell ref="B38:C38"/>
    <mergeCell ref="F38:G38"/>
    <mergeCell ref="B39:C39"/>
    <mergeCell ref="F39:G39"/>
    <mergeCell ref="B40:C40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7030A0"/>
  </sheetPr>
  <dimension ref="A1:N46"/>
  <sheetViews>
    <sheetView zoomScalePageLayoutView="0" workbookViewId="0" topLeftCell="A31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289</v>
      </c>
      <c r="H7" s="60"/>
    </row>
    <row r="8" spans="1:10" s="59" customFormat="1" ht="12.75">
      <c r="A8" s="59" t="s">
        <v>3</v>
      </c>
      <c r="F8" s="310" t="s">
        <v>473</v>
      </c>
      <c r="H8" s="313">
        <f>I8+J8</f>
        <v>1385.3</v>
      </c>
      <c r="I8" s="61">
        <v>330.3</v>
      </c>
      <c r="J8" s="61">
        <v>1055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'[1]А.Королева 29'!$G$35</f>
        <v>-20107.7225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10.25</v>
      </c>
      <c r="D16" s="76">
        <v>146141.14</v>
      </c>
      <c r="E16" s="76">
        <v>143187.87</v>
      </c>
      <c r="F16" s="76">
        <f aca="true" t="shared" si="0" ref="F16:F22">D16</f>
        <v>146141.14</v>
      </c>
      <c r="G16" s="77">
        <f>D16-E16</f>
        <v>2953.2700000000186</v>
      </c>
      <c r="H16" s="78">
        <f>C16</f>
        <v>10.25</v>
      </c>
      <c r="I16" s="79"/>
      <c r="J16" s="79"/>
      <c r="K16" s="79"/>
      <c r="L16" s="59">
        <f>D16/1385.3/12</f>
        <v>8.79118482157896</v>
      </c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49331.54579512196</v>
      </c>
      <c r="E17" s="83">
        <f>E16*I17</f>
        <v>48334.637092682926</v>
      </c>
      <c r="F17" s="83">
        <f t="shared" si="0"/>
        <v>49331.54579512196</v>
      </c>
      <c r="G17" s="84">
        <f>D17-E17</f>
        <v>996.9087024390319</v>
      </c>
      <c r="H17" s="78">
        <f>C17</f>
        <v>3.46</v>
      </c>
      <c r="I17" s="59">
        <f>H17/H16</f>
        <v>0.3375609756097561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24095.466009756103</v>
      </c>
      <c r="E18" s="83">
        <f>E16*I18</f>
        <v>23608.536614634148</v>
      </c>
      <c r="F18" s="83">
        <f t="shared" si="0"/>
        <v>24095.466009756103</v>
      </c>
      <c r="G18" s="84">
        <f>D18-E18</f>
        <v>486.92939512195517</v>
      </c>
      <c r="H18" s="78">
        <f>C18</f>
        <v>1.69</v>
      </c>
      <c r="I18" s="59">
        <f>H18/H16</f>
        <v>0.1648780487804878</v>
      </c>
    </row>
    <row r="19" spans="1:9" s="59" customFormat="1" ht="15">
      <c r="A19" s="81" t="s">
        <v>20</v>
      </c>
      <c r="B19" s="34" t="s">
        <v>21</v>
      </c>
      <c r="C19" s="82">
        <v>2.17</v>
      </c>
      <c r="D19" s="83">
        <f>D16*I19</f>
        <v>30939.148663414635</v>
      </c>
      <c r="E19" s="83">
        <f>E16*I19</f>
        <v>30313.91979512195</v>
      </c>
      <c r="F19" s="83">
        <f t="shared" si="0"/>
        <v>30939.148663414635</v>
      </c>
      <c r="G19" s="84">
        <f>D19-E19</f>
        <v>625.2288682926846</v>
      </c>
      <c r="H19" s="78">
        <f>C19</f>
        <v>2.17</v>
      </c>
      <c r="I19" s="59">
        <f>H19/H16</f>
        <v>0.21170731707317073</v>
      </c>
    </row>
    <row r="20" spans="1:9" s="59" customFormat="1" ht="15">
      <c r="A20" s="81" t="s">
        <v>22</v>
      </c>
      <c r="B20" s="34" t="s">
        <v>23</v>
      </c>
      <c r="C20" s="82">
        <v>2.93</v>
      </c>
      <c r="D20" s="83">
        <f>D16*I20</f>
        <v>41774.97953170732</v>
      </c>
      <c r="E20" s="83">
        <f>E16*I20</f>
        <v>40930.776497560975</v>
      </c>
      <c r="F20" s="83">
        <f t="shared" si="0"/>
        <v>41774.97953170732</v>
      </c>
      <c r="G20" s="84">
        <f>D20-E20</f>
        <v>844.2030341463469</v>
      </c>
      <c r="H20" s="78">
        <f>C20</f>
        <v>2.93</v>
      </c>
      <c r="I20" s="59">
        <f>H20/H16</f>
        <v>0.2858536585365854</v>
      </c>
    </row>
    <row r="21" spans="1:11" s="89" customFormat="1" ht="14.25">
      <c r="A21" s="86" t="s">
        <v>25</v>
      </c>
      <c r="B21" s="86" t="s">
        <v>230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212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2.06</v>
      </c>
      <c r="D24" s="87">
        <v>28984.7</v>
      </c>
      <c r="E24" s="87">
        <v>28490.64</v>
      </c>
      <c r="F24" s="87">
        <f>F38</f>
        <v>13103.9064</v>
      </c>
      <c r="G24" s="77">
        <f t="shared" si="1"/>
        <v>494.0600000000013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39318.44</v>
      </c>
      <c r="E26" s="77">
        <f>SUM(E27:E30)</f>
        <v>42856.79</v>
      </c>
      <c r="F26" s="77">
        <f>SUM(F27:F30)</f>
        <v>39318.44</v>
      </c>
      <c r="G26" s="77">
        <f t="shared" si="1"/>
        <v>-3538.3499999999985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19029.68</v>
      </c>
      <c r="E27" s="84">
        <v>18760.14</v>
      </c>
      <c r="F27" s="84">
        <f>D27</f>
        <v>19029.68</v>
      </c>
      <c r="G27" s="84">
        <f t="shared" si="1"/>
        <v>269.5400000000009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2890.63</v>
      </c>
      <c r="E28" s="84">
        <v>6826.32</v>
      </c>
      <c r="F28" s="84">
        <f>D28</f>
        <v>2890.63</v>
      </c>
      <c r="G28" s="84">
        <f t="shared" si="1"/>
        <v>-3935.6899999999996</v>
      </c>
    </row>
    <row r="29" spans="1:7" ht="15">
      <c r="A29" s="34" t="s">
        <v>42</v>
      </c>
      <c r="B29" s="51" t="s">
        <v>143</v>
      </c>
      <c r="C29" s="294" t="s">
        <v>381</v>
      </c>
      <c r="D29" s="84">
        <v>17398.13</v>
      </c>
      <c r="E29" s="84">
        <v>17270.33</v>
      </c>
      <c r="F29" s="84">
        <f>D29</f>
        <v>17398.13</v>
      </c>
      <c r="G29" s="84">
        <f t="shared" si="1"/>
        <v>127.79999999999927</v>
      </c>
    </row>
    <row r="30" spans="1:7" s="279" customFormat="1" ht="15">
      <c r="A30" s="274" t="s">
        <v>41</v>
      </c>
      <c r="B30" s="274" t="s">
        <v>43</v>
      </c>
      <c r="C30" s="145">
        <v>0</v>
      </c>
      <c r="D30" s="216">
        <v>0</v>
      </c>
      <c r="E30" s="216">
        <v>0</v>
      </c>
      <c r="F30" s="216">
        <f>D30</f>
        <v>0</v>
      </c>
      <c r="G30" s="84">
        <f t="shared" si="1"/>
        <v>0</v>
      </c>
    </row>
    <row r="31" spans="1:9" s="102" customFormat="1" ht="19.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288">
        <v>96930.65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-4720.9889</v>
      </c>
      <c r="H34" s="62"/>
      <c r="I34" s="62"/>
    </row>
    <row r="35" spans="1:11" ht="31.5" customHeight="1">
      <c r="A35" s="509" t="s">
        <v>189</v>
      </c>
      <c r="B35" s="510"/>
      <c r="C35" s="510"/>
      <c r="D35" s="510"/>
      <c r="E35" s="510"/>
      <c r="F35" s="510"/>
      <c r="G35" s="510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2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SUM(F39:G40)</f>
        <v>13103.9064</v>
      </c>
      <c r="G38" s="404"/>
      <c r="H38" s="253"/>
      <c r="I38" s="254"/>
      <c r="L38" s="116"/>
    </row>
    <row r="39" spans="1:12" ht="15">
      <c r="A39" s="34" t="s">
        <v>16</v>
      </c>
      <c r="B39" s="369" t="s">
        <v>175</v>
      </c>
      <c r="C39" s="371"/>
      <c r="D39" s="119"/>
      <c r="E39" s="119"/>
      <c r="F39" s="455">
        <v>12819</v>
      </c>
      <c r="G39" s="456"/>
      <c r="H39" s="255"/>
      <c r="I39" s="256"/>
      <c r="L39" s="120"/>
    </row>
    <row r="40" spans="1:11" s="67" customFormat="1" ht="15">
      <c r="A40" s="34" t="s">
        <v>18</v>
      </c>
      <c r="B40" s="408" t="s">
        <v>198</v>
      </c>
      <c r="C40" s="409"/>
      <c r="D40" s="125"/>
      <c r="E40" s="125"/>
      <c r="F40" s="410">
        <f>E24*1%</f>
        <v>284.9064</v>
      </c>
      <c r="G40" s="410"/>
      <c r="H40" s="59"/>
      <c r="I40" s="59"/>
      <c r="J40" s="59"/>
      <c r="K40" s="59"/>
    </row>
    <row r="41" s="59" customFormat="1" ht="9" customHeight="1"/>
    <row r="42" spans="1:11" s="59" customFormat="1" ht="15">
      <c r="A42" s="67" t="s">
        <v>55</v>
      </c>
      <c r="B42" s="67"/>
      <c r="C42" s="127" t="s">
        <v>49</v>
      </c>
      <c r="D42" s="67"/>
      <c r="E42" s="67"/>
      <c r="F42" s="67" t="s">
        <v>93</v>
      </c>
      <c r="G42" s="67"/>
      <c r="H42" s="67"/>
      <c r="I42" s="67"/>
      <c r="J42" s="67"/>
      <c r="K42" s="67"/>
    </row>
    <row r="43" spans="1:7" s="59" customFormat="1" ht="15">
      <c r="A43" s="67"/>
      <c r="B43" s="67"/>
      <c r="C43" s="127"/>
      <c r="D43" s="67"/>
      <c r="E43" s="67"/>
      <c r="F43" s="128" t="s">
        <v>516</v>
      </c>
      <c r="G43" s="67"/>
    </row>
    <row r="44" spans="1:10" s="59" customFormat="1" ht="15">
      <c r="A44" s="67" t="s">
        <v>50</v>
      </c>
      <c r="B44" s="67"/>
      <c r="C44" s="127"/>
      <c r="D44" s="67"/>
      <c r="E44" s="67"/>
      <c r="F44" s="67"/>
      <c r="G44" s="67"/>
      <c r="H44" s="158"/>
      <c r="I44" s="158"/>
      <c r="J44" s="158"/>
    </row>
    <row r="45" spans="1:11" ht="15">
      <c r="A45" s="67"/>
      <c r="B45" s="67"/>
      <c r="C45" s="129" t="s">
        <v>51</v>
      </c>
      <c r="D45" s="67"/>
      <c r="E45" s="130"/>
      <c r="F45" s="130"/>
      <c r="G45" s="130"/>
      <c r="H45" s="59"/>
      <c r="I45" s="59"/>
      <c r="J45" s="59"/>
      <c r="K45" s="59"/>
    </row>
    <row r="46" spans="1:11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</row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32:C32"/>
    <mergeCell ref="B37:C37"/>
    <mergeCell ref="F37:G37"/>
    <mergeCell ref="A35:G35"/>
    <mergeCell ref="A31:F31"/>
    <mergeCell ref="B40:C40"/>
    <mergeCell ref="F40:G40"/>
    <mergeCell ref="B38:C38"/>
    <mergeCell ref="F38:G38"/>
    <mergeCell ref="B39:C39"/>
    <mergeCell ref="F39:G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7030A0"/>
  </sheetPr>
  <dimension ref="A1:N51"/>
  <sheetViews>
    <sheetView zoomScalePageLayoutView="0" workbookViewId="0" topLeftCell="A19">
      <selection activeCell="G13" sqref="G13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236</v>
      </c>
      <c r="H7" s="60" t="s">
        <v>322</v>
      </c>
    </row>
    <row r="8" spans="1:10" s="59" customFormat="1" ht="12.75">
      <c r="A8" s="59" t="s">
        <v>3</v>
      </c>
      <c r="F8" s="310" t="s">
        <v>321</v>
      </c>
      <c r="H8" s="61">
        <v>68.4</v>
      </c>
      <c r="I8" s="61">
        <f>3582.4+49.8</f>
        <v>3632.2000000000003</v>
      </c>
      <c r="J8" s="61">
        <v>3582.4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315">
        <f>'[1]Калинина 15'!$G$35</f>
        <v>-59580.5846</v>
      </c>
      <c r="H13" s="62"/>
      <c r="I13" s="305">
        <v>26824.08</v>
      </c>
    </row>
    <row r="14" s="59" customFormat="1" ht="15" customHeight="1">
      <c r="A14" s="59" t="s">
        <v>734</v>
      </c>
    </row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10.18</v>
      </c>
      <c r="D16" s="76">
        <v>447030.02</v>
      </c>
      <c r="E16" s="76">
        <v>398777.39</v>
      </c>
      <c r="F16" s="76">
        <f>D16</f>
        <v>447030.02</v>
      </c>
      <c r="G16" s="77">
        <f>D16-E16</f>
        <v>48252.630000000005</v>
      </c>
      <c r="H16" s="78">
        <f>C16</f>
        <v>10.18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151937.5117092338</v>
      </c>
      <c r="E17" s="83">
        <f>E16*I17</f>
        <v>135537.30544204323</v>
      </c>
      <c r="F17" s="83">
        <f>D17</f>
        <v>151937.5117092338</v>
      </c>
      <c r="G17" s="84">
        <f>D17-E17</f>
        <v>16400.206267190573</v>
      </c>
      <c r="H17" s="78">
        <f>C17</f>
        <v>3.46</v>
      </c>
      <c r="I17" s="59">
        <f>H17/H16</f>
        <v>0.33988212180746563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74212.25282907662</v>
      </c>
      <c r="E18" s="83">
        <f>E16*I18</f>
        <v>66201.74745579567</v>
      </c>
      <c r="F18" s="83">
        <f>D18</f>
        <v>74212.25282907662</v>
      </c>
      <c r="G18" s="84">
        <f>D18-E18</f>
        <v>8010.5053732809465</v>
      </c>
      <c r="H18" s="78">
        <f>C18</f>
        <v>1.69</v>
      </c>
      <c r="I18" s="59">
        <f>H18/H16</f>
        <v>0.16601178781925344</v>
      </c>
    </row>
    <row r="19" spans="1:9" s="59" customFormat="1" ht="15">
      <c r="A19" s="81" t="s">
        <v>20</v>
      </c>
      <c r="B19" s="34" t="s">
        <v>21</v>
      </c>
      <c r="C19" s="82">
        <v>1.99</v>
      </c>
      <c r="D19" s="83">
        <f>D16*I19</f>
        <v>87386.02552062868</v>
      </c>
      <c r="E19" s="83">
        <f>E16*I19</f>
        <v>77953.53694499018</v>
      </c>
      <c r="F19" s="83">
        <f>D19</f>
        <v>87386.02552062868</v>
      </c>
      <c r="G19" s="84">
        <f>D19-E19</f>
        <v>9432.488575638505</v>
      </c>
      <c r="H19" s="78">
        <f>C19</f>
        <v>1.99</v>
      </c>
      <c r="I19" s="59">
        <f>H19/H16</f>
        <v>0.19548133595284872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133494.2299410609</v>
      </c>
      <c r="E20" s="83">
        <f>E16*I20</f>
        <v>119084.80015717093</v>
      </c>
      <c r="F20" s="83">
        <f>D20</f>
        <v>133494.2299410609</v>
      </c>
      <c r="G20" s="84">
        <f>D20-E20</f>
        <v>14409.42978388998</v>
      </c>
      <c r="H20" s="78">
        <f>C20</f>
        <v>3.04</v>
      </c>
      <c r="I20" s="59">
        <f>H20/H16</f>
        <v>0.29862475442043224</v>
      </c>
    </row>
    <row r="21" spans="1:11" s="89" customFormat="1" ht="14.25">
      <c r="A21" s="86" t="s">
        <v>25</v>
      </c>
      <c r="B21" s="86" t="s">
        <v>230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484</v>
      </c>
      <c r="C22" s="46">
        <v>87</v>
      </c>
      <c r="D22" s="87">
        <v>56202</v>
      </c>
      <c r="E22" s="87">
        <v>55392.46</v>
      </c>
      <c r="F22" s="87">
        <v>0</v>
      </c>
      <c r="G22" s="77">
        <f t="shared" si="0"/>
        <v>809.5400000000009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3.3</v>
      </c>
      <c r="D24" s="87">
        <v>141863.76</v>
      </c>
      <c r="E24" s="87">
        <v>131737.57</v>
      </c>
      <c r="F24" s="87">
        <f>F38-F22</f>
        <v>-26257.924300000002</v>
      </c>
      <c r="G24" s="77">
        <f t="shared" si="0"/>
        <v>10126.190000000002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 t="s">
        <v>395</v>
      </c>
      <c r="D25" s="77">
        <v>0</v>
      </c>
      <c r="E25" s="77">
        <v>0</v>
      </c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933774.78</v>
      </c>
      <c r="E26" s="77">
        <f>SUM(E27:E30)</f>
        <v>867366.88</v>
      </c>
      <c r="F26" s="77">
        <f>SUM(F27:F30)</f>
        <v>933774.78</v>
      </c>
      <c r="G26" s="77">
        <f t="shared" si="0"/>
        <v>66407.90000000002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413</v>
      </c>
      <c r="D27" s="84">
        <v>117305.48</v>
      </c>
      <c r="E27" s="84">
        <v>97171.89</v>
      </c>
      <c r="F27" s="84">
        <f>D27</f>
        <v>117305.48</v>
      </c>
      <c r="G27" s="84">
        <f t="shared" si="0"/>
        <v>20133.589999999997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800949.05</v>
      </c>
      <c r="E28" s="84">
        <v>756373.05</v>
      </c>
      <c r="F28" s="84">
        <f>D28</f>
        <v>800949.05</v>
      </c>
      <c r="G28" s="84">
        <f t="shared" si="0"/>
        <v>44576</v>
      </c>
    </row>
    <row r="29" spans="1:7" ht="15">
      <c r="A29" s="34" t="s">
        <v>42</v>
      </c>
      <c r="B29" s="51" t="s">
        <v>143</v>
      </c>
      <c r="C29" s="294" t="s">
        <v>414</v>
      </c>
      <c r="D29" s="84">
        <v>15520.25</v>
      </c>
      <c r="E29" s="84">
        <v>13821.94</v>
      </c>
      <c r="F29" s="84">
        <f>D29</f>
        <v>15520.25</v>
      </c>
      <c r="G29" s="84">
        <f t="shared" si="0"/>
        <v>1698.3099999999995</v>
      </c>
    </row>
    <row r="30" spans="1:7" s="279" customFormat="1" ht="15">
      <c r="A30" s="274" t="s">
        <v>41</v>
      </c>
      <c r="B30" s="274" t="s">
        <v>43</v>
      </c>
      <c r="C30" s="145">
        <v>0</v>
      </c>
      <c r="D30" s="216">
        <v>0</v>
      </c>
      <c r="E30" s="216">
        <v>0</v>
      </c>
      <c r="F30" s="216">
        <f>D30</f>
        <v>0</v>
      </c>
      <c r="G30" s="84">
        <f t="shared" si="0"/>
        <v>0</v>
      </c>
    </row>
    <row r="31" spans="1:9" s="102" customFormat="1" ht="20.2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315">
        <v>576981.07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316">
        <f>G13+E24-F24+E22-F22</f>
        <v>153807.3697</v>
      </c>
      <c r="H34" s="62"/>
      <c r="I34" s="62"/>
    </row>
    <row r="35" spans="1:11" ht="31.5" customHeight="1">
      <c r="A35" s="509" t="s">
        <v>189</v>
      </c>
      <c r="B35" s="510"/>
      <c r="C35" s="510"/>
      <c r="D35" s="510"/>
      <c r="E35" s="510"/>
      <c r="F35" s="510"/>
      <c r="G35" s="510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2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SUM(F39:G45)</f>
        <v>-26257.924300000002</v>
      </c>
      <c r="G38" s="404"/>
      <c r="H38" s="253"/>
      <c r="I38" s="254"/>
      <c r="L38" s="116"/>
    </row>
    <row r="39" spans="1:12" ht="15">
      <c r="A39" s="34" t="s">
        <v>16</v>
      </c>
      <c r="B39" s="369" t="s">
        <v>728</v>
      </c>
      <c r="C39" s="371"/>
      <c r="D39" s="119" t="s">
        <v>171</v>
      </c>
      <c r="E39" s="119">
        <v>1</v>
      </c>
      <c r="F39" s="455">
        <v>23000</v>
      </c>
      <c r="G39" s="456"/>
      <c r="H39" s="255"/>
      <c r="I39" s="256"/>
      <c r="L39" s="120"/>
    </row>
    <row r="40" spans="1:12" ht="15">
      <c r="A40" s="34" t="s">
        <v>18</v>
      </c>
      <c r="B40" s="369" t="s">
        <v>502</v>
      </c>
      <c r="C40" s="371"/>
      <c r="D40" s="119"/>
      <c r="E40" s="126" t="s">
        <v>258</v>
      </c>
      <c r="F40" s="420">
        <v>4802.4</v>
      </c>
      <c r="G40" s="421"/>
      <c r="H40" s="40"/>
      <c r="I40" s="40"/>
      <c r="L40" s="120"/>
    </row>
    <row r="41" spans="1:12" ht="15">
      <c r="A41" s="34" t="s">
        <v>20</v>
      </c>
      <c r="B41" s="369" t="s">
        <v>729</v>
      </c>
      <c r="C41" s="371"/>
      <c r="D41" s="119" t="s">
        <v>730</v>
      </c>
      <c r="E41" s="126" t="s">
        <v>258</v>
      </c>
      <c r="F41" s="420">
        <v>2346</v>
      </c>
      <c r="G41" s="421"/>
      <c r="H41" s="40"/>
      <c r="I41" s="40"/>
      <c r="L41" s="120"/>
    </row>
    <row r="42" spans="1:12" ht="15">
      <c r="A42" s="34" t="s">
        <v>22</v>
      </c>
      <c r="B42" s="369" t="s">
        <v>167</v>
      </c>
      <c r="C42" s="371"/>
      <c r="D42" s="119" t="s">
        <v>174</v>
      </c>
      <c r="E42" s="126">
        <v>600</v>
      </c>
      <c r="F42" s="420">
        <v>5814</v>
      </c>
      <c r="G42" s="421"/>
      <c r="H42" s="40"/>
      <c r="I42" s="40"/>
      <c r="L42" s="120"/>
    </row>
    <row r="43" spans="1:12" ht="17.25" customHeight="1">
      <c r="A43" s="34" t="s">
        <v>24</v>
      </c>
      <c r="B43" s="383" t="s">
        <v>731</v>
      </c>
      <c r="C43" s="400"/>
      <c r="D43" s="119" t="s">
        <v>240</v>
      </c>
      <c r="E43" s="119">
        <v>0.04</v>
      </c>
      <c r="F43" s="420">
        <v>16494.3</v>
      </c>
      <c r="G43" s="421"/>
      <c r="H43" s="40"/>
      <c r="I43" s="40"/>
      <c r="L43" s="120"/>
    </row>
    <row r="44" spans="1:12" ht="15">
      <c r="A44" s="34" t="s">
        <v>106</v>
      </c>
      <c r="B44" s="491" t="s">
        <v>735</v>
      </c>
      <c r="C44" s="530"/>
      <c r="D44" s="119"/>
      <c r="E44" s="203"/>
      <c r="F44" s="493">
        <v>-80032</v>
      </c>
      <c r="G44" s="494"/>
      <c r="H44" s="40"/>
      <c r="I44" s="40"/>
      <c r="L44" s="120"/>
    </row>
    <row r="45" spans="1:11" s="67" customFormat="1" ht="15">
      <c r="A45" s="34" t="s">
        <v>107</v>
      </c>
      <c r="B45" s="408" t="s">
        <v>198</v>
      </c>
      <c r="C45" s="409"/>
      <c r="D45" s="125"/>
      <c r="E45" s="125"/>
      <c r="F45" s="410">
        <f>E24*1%</f>
        <v>1317.3757</v>
      </c>
      <c r="G45" s="410"/>
      <c r="H45" s="59"/>
      <c r="I45" s="59"/>
      <c r="J45" s="59"/>
      <c r="K45" s="59"/>
    </row>
    <row r="46" s="59" customFormat="1" ht="9" customHeight="1"/>
    <row r="47" spans="1:11" s="59" customFormat="1" ht="15">
      <c r="A47" s="67" t="s">
        <v>55</v>
      </c>
      <c r="B47" s="67"/>
      <c r="C47" s="127" t="s">
        <v>49</v>
      </c>
      <c r="D47" s="67"/>
      <c r="E47" s="67"/>
      <c r="F47" s="67" t="s">
        <v>93</v>
      </c>
      <c r="G47" s="67"/>
      <c r="H47" s="67"/>
      <c r="I47" s="67"/>
      <c r="J47" s="67"/>
      <c r="K47" s="67"/>
    </row>
    <row r="48" spans="1:7" s="59" customFormat="1" ht="15">
      <c r="A48" s="67"/>
      <c r="B48" s="67"/>
      <c r="C48" s="127"/>
      <c r="D48" s="67"/>
      <c r="E48" s="67"/>
      <c r="F48" s="128" t="s">
        <v>516</v>
      </c>
      <c r="G48" s="67"/>
    </row>
    <row r="49" spans="1:10" s="59" customFormat="1" ht="15">
      <c r="A49" s="67" t="s">
        <v>50</v>
      </c>
      <c r="B49" s="67"/>
      <c r="C49" s="127"/>
      <c r="D49" s="67"/>
      <c r="E49" s="67"/>
      <c r="F49" s="67"/>
      <c r="G49" s="67"/>
      <c r="H49" s="158"/>
      <c r="I49" s="158"/>
      <c r="J49" s="158"/>
    </row>
    <row r="50" spans="1:11" ht="15">
      <c r="A50" s="67"/>
      <c r="B50" s="67"/>
      <c r="C50" s="129" t="s">
        <v>51</v>
      </c>
      <c r="D50" s="67"/>
      <c r="E50" s="130"/>
      <c r="F50" s="130"/>
      <c r="G50" s="130"/>
      <c r="H50" s="59"/>
      <c r="I50" s="59"/>
      <c r="J50" s="59"/>
      <c r="K50" s="59"/>
    </row>
    <row r="51" spans="1:11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</sheetData>
  <sheetProtection/>
  <mergeCells count="28">
    <mergeCell ref="A1:K1"/>
    <mergeCell ref="A2:K2"/>
    <mergeCell ref="A3:K3"/>
    <mergeCell ref="A5:K5"/>
    <mergeCell ref="A9:K9"/>
    <mergeCell ref="A10:K10"/>
    <mergeCell ref="A11:K11"/>
    <mergeCell ref="A32:C32"/>
    <mergeCell ref="B37:C37"/>
    <mergeCell ref="F37:G37"/>
    <mergeCell ref="A35:G35"/>
    <mergeCell ref="A31:F31"/>
    <mergeCell ref="B45:C45"/>
    <mergeCell ref="F45:G45"/>
    <mergeCell ref="B38:C38"/>
    <mergeCell ref="F38:G38"/>
    <mergeCell ref="B39:C39"/>
    <mergeCell ref="F39:G39"/>
    <mergeCell ref="B40:C40"/>
    <mergeCell ref="B41:C41"/>
    <mergeCell ref="F40:G40"/>
    <mergeCell ref="F41:G41"/>
    <mergeCell ref="B42:C42"/>
    <mergeCell ref="B43:C43"/>
    <mergeCell ref="B44:C44"/>
    <mergeCell ref="F42:G42"/>
    <mergeCell ref="F43:G43"/>
    <mergeCell ref="F44:G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25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478</v>
      </c>
      <c r="H7" s="60"/>
    </row>
    <row r="8" spans="1:10" s="59" customFormat="1" ht="12.75">
      <c r="A8" s="59" t="s">
        <v>3</v>
      </c>
      <c r="F8" s="310" t="s">
        <v>479</v>
      </c>
      <c r="H8" s="313">
        <f>I8+J8</f>
        <v>1385.3</v>
      </c>
      <c r="I8" s="61">
        <v>330.3</v>
      </c>
      <c r="J8" s="61">
        <v>1055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v>0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227835.81</v>
      </c>
      <c r="E16" s="76">
        <v>216031.42</v>
      </c>
      <c r="F16" s="76">
        <f aca="true" t="shared" si="0" ref="F16:F22">D16</f>
        <v>227835.81</v>
      </c>
      <c r="G16" s="77">
        <f>D16-E16</f>
        <v>11804.389999999985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79788.65410931174</v>
      </c>
      <c r="E17" s="83">
        <f>E16*I17</f>
        <v>75654.72805668018</v>
      </c>
      <c r="F17" s="83">
        <f t="shared" si="0"/>
        <v>79788.65410931174</v>
      </c>
      <c r="G17" s="84">
        <f>D17-E17</f>
        <v>4133.926052631563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38971.91486842105</v>
      </c>
      <c r="E18" s="83">
        <f>E16*I18</f>
        <v>36952.742894736846</v>
      </c>
      <c r="F18" s="83">
        <f t="shared" si="0"/>
        <v>38971.91486842105</v>
      </c>
      <c r="G18" s="84">
        <f>D18-E18</f>
        <v>2019.171973684206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38971.91486842105</v>
      </c>
      <c r="E19" s="83">
        <f>E16*I19</f>
        <v>36952.742894736846</v>
      </c>
      <c r="F19" s="83">
        <f t="shared" si="0"/>
        <v>38971.91486842105</v>
      </c>
      <c r="G19" s="84">
        <f>D19-E19</f>
        <v>2019.171973684206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70103.32615384615</v>
      </c>
      <c r="E20" s="83">
        <f>E16*I20</f>
        <v>66471.20615384616</v>
      </c>
      <c r="F20" s="83">
        <f t="shared" si="0"/>
        <v>70103.32615384615</v>
      </c>
      <c r="G20" s="84">
        <f>D20-E20</f>
        <v>3632.1199999999953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230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212</v>
      </c>
      <c r="C22" s="46">
        <v>3.5</v>
      </c>
      <c r="D22" s="87">
        <v>57051.59</v>
      </c>
      <c r="E22" s="87">
        <v>53621.47</v>
      </c>
      <c r="F22" s="87">
        <f t="shared" si="0"/>
        <v>57051.59</v>
      </c>
      <c r="G22" s="77">
        <f t="shared" si="1"/>
        <v>3430.1199999999953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5</v>
      </c>
      <c r="D24" s="87">
        <v>115301.5</v>
      </c>
      <c r="E24" s="87">
        <v>109327.72</v>
      </c>
      <c r="F24" s="87">
        <f>F38</f>
        <v>7628.2772</v>
      </c>
      <c r="G24" s="77">
        <f t="shared" si="1"/>
        <v>5973.779999999999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24026.29</v>
      </c>
      <c r="E26" s="77">
        <f>SUM(E27:E30)</f>
        <v>25624.29</v>
      </c>
      <c r="F26" s="77">
        <f>SUM(F27:F30)</f>
        <v>24026.29</v>
      </c>
      <c r="G26" s="77">
        <f t="shared" si="1"/>
        <v>-1598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>
        <v>5.3</v>
      </c>
      <c r="D27" s="84">
        <v>20286.71</v>
      </c>
      <c r="E27" s="84">
        <v>19633.94</v>
      </c>
      <c r="F27" s="84">
        <f>D27</f>
        <v>20286.71</v>
      </c>
      <c r="G27" s="84">
        <f t="shared" si="1"/>
        <v>652.7700000000004</v>
      </c>
    </row>
    <row r="28" spans="1:7" ht="15">
      <c r="A28" s="34" t="s">
        <v>39</v>
      </c>
      <c r="B28" s="34" t="s">
        <v>142</v>
      </c>
      <c r="C28" s="293">
        <v>50.85</v>
      </c>
      <c r="D28" s="84">
        <v>3739.58</v>
      </c>
      <c r="E28" s="84">
        <v>5990.35</v>
      </c>
      <c r="F28" s="84">
        <f>D28</f>
        <v>3739.58</v>
      </c>
      <c r="G28" s="84">
        <f t="shared" si="1"/>
        <v>-2250.7700000000004</v>
      </c>
    </row>
    <row r="29" spans="1:7" ht="15">
      <c r="A29" s="34" t="s">
        <v>42</v>
      </c>
      <c r="B29" s="51" t="s">
        <v>143</v>
      </c>
      <c r="C29" s="294">
        <v>0</v>
      </c>
      <c r="D29" s="84">
        <v>0</v>
      </c>
      <c r="E29" s="84">
        <v>0</v>
      </c>
      <c r="F29" s="84">
        <v>0</v>
      </c>
      <c r="G29" s="84">
        <f t="shared" si="1"/>
        <v>0</v>
      </c>
    </row>
    <row r="30" spans="1:7" s="279" customFormat="1" ht="15">
      <c r="A30" s="274" t="s">
        <v>41</v>
      </c>
      <c r="B30" s="274" t="s">
        <v>43</v>
      </c>
      <c r="C30" s="145">
        <v>0</v>
      </c>
      <c r="D30" s="216">
        <v>0</v>
      </c>
      <c r="E30" s="216">
        <v>0</v>
      </c>
      <c r="F30" s="216">
        <f>D30</f>
        <v>0</v>
      </c>
      <c r="G30" s="84">
        <f t="shared" si="1"/>
        <v>0</v>
      </c>
    </row>
    <row r="31" spans="1:9" s="102" customFormat="1" ht="19.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71">
        <v>164892.7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316">
        <f>G13+E24-F24</f>
        <v>101699.4428</v>
      </c>
      <c r="H34" s="62"/>
      <c r="I34" s="62"/>
    </row>
    <row r="35" spans="1:11" ht="31.5" customHeight="1">
      <c r="A35" s="509" t="s">
        <v>189</v>
      </c>
      <c r="B35" s="510"/>
      <c r="C35" s="510"/>
      <c r="D35" s="510"/>
      <c r="E35" s="510"/>
      <c r="F35" s="510"/>
      <c r="G35" s="510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2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SUM(F39:G42)</f>
        <v>7628.2772</v>
      </c>
      <c r="G38" s="404"/>
      <c r="H38" s="253"/>
      <c r="I38" s="254"/>
      <c r="L38" s="116"/>
    </row>
    <row r="39" spans="1:12" ht="15">
      <c r="A39" s="34" t="s">
        <v>16</v>
      </c>
      <c r="B39" s="369" t="s">
        <v>747</v>
      </c>
      <c r="C39" s="371"/>
      <c r="D39" s="119" t="s">
        <v>248</v>
      </c>
      <c r="E39" s="119">
        <v>11</v>
      </c>
      <c r="F39" s="410">
        <v>4565</v>
      </c>
      <c r="G39" s="410"/>
      <c r="H39" s="255"/>
      <c r="I39" s="256"/>
      <c r="L39" s="120"/>
    </row>
    <row r="40" spans="1:12" ht="15">
      <c r="A40" s="34" t="s">
        <v>18</v>
      </c>
      <c r="B40" s="369" t="s">
        <v>747</v>
      </c>
      <c r="C40" s="371"/>
      <c r="D40" s="119" t="s">
        <v>248</v>
      </c>
      <c r="E40" s="119">
        <v>1</v>
      </c>
      <c r="F40" s="410">
        <v>220</v>
      </c>
      <c r="G40" s="410"/>
      <c r="H40" s="40"/>
      <c r="I40" s="40"/>
      <c r="L40" s="120"/>
    </row>
    <row r="41" spans="1:12" ht="15">
      <c r="A41" s="34" t="s">
        <v>20</v>
      </c>
      <c r="B41" s="369" t="s">
        <v>747</v>
      </c>
      <c r="C41" s="371"/>
      <c r="D41" s="119" t="s">
        <v>248</v>
      </c>
      <c r="E41" s="119">
        <v>5</v>
      </c>
      <c r="F41" s="410">
        <v>1750</v>
      </c>
      <c r="G41" s="410"/>
      <c r="H41" s="40"/>
      <c r="I41" s="40"/>
      <c r="L41" s="120"/>
    </row>
    <row r="42" spans="1:11" s="67" customFormat="1" ht="15">
      <c r="A42" s="34" t="s">
        <v>22</v>
      </c>
      <c r="B42" s="408" t="s">
        <v>198</v>
      </c>
      <c r="C42" s="409"/>
      <c r="D42" s="125"/>
      <c r="E42" s="125"/>
      <c r="F42" s="410">
        <f>E24*1%</f>
        <v>1093.2772</v>
      </c>
      <c r="G42" s="410"/>
      <c r="H42" s="59"/>
      <c r="I42" s="59"/>
      <c r="J42" s="59"/>
      <c r="K42" s="59"/>
    </row>
    <row r="43" s="59" customFormat="1" ht="9" customHeight="1"/>
    <row r="44" spans="1:11" s="59" customFormat="1" ht="15">
      <c r="A44" s="67" t="s">
        <v>55</v>
      </c>
      <c r="B44" s="67"/>
      <c r="C44" s="127" t="s">
        <v>49</v>
      </c>
      <c r="D44" s="67"/>
      <c r="E44" s="67"/>
      <c r="F44" s="67" t="s">
        <v>93</v>
      </c>
      <c r="G44" s="67"/>
      <c r="H44" s="67"/>
      <c r="I44" s="67"/>
      <c r="J44" s="67"/>
      <c r="K44" s="67"/>
    </row>
    <row r="45" spans="1:7" s="59" customFormat="1" ht="15">
      <c r="A45" s="67"/>
      <c r="B45" s="67"/>
      <c r="C45" s="127"/>
      <c r="D45" s="67"/>
      <c r="E45" s="67"/>
      <c r="F45" s="128" t="s">
        <v>516</v>
      </c>
      <c r="G45" s="67"/>
    </row>
    <row r="46" spans="1:10" s="59" customFormat="1" ht="15">
      <c r="A46" s="67" t="s">
        <v>50</v>
      </c>
      <c r="B46" s="67"/>
      <c r="C46" s="127"/>
      <c r="D46" s="67"/>
      <c r="E46" s="67"/>
      <c r="F46" s="67"/>
      <c r="G46" s="67"/>
      <c r="H46" s="158"/>
      <c r="I46" s="158"/>
      <c r="J46" s="158"/>
    </row>
    <row r="47" spans="1:11" ht="15">
      <c r="A47" s="67"/>
      <c r="B47" s="67"/>
      <c r="C47" s="129" t="s">
        <v>51</v>
      </c>
      <c r="D47" s="67"/>
      <c r="E47" s="130"/>
      <c r="F47" s="130"/>
      <c r="G47" s="130"/>
      <c r="H47" s="59"/>
      <c r="I47" s="59"/>
      <c r="J47" s="59"/>
      <c r="K47" s="59"/>
    </row>
    <row r="48" spans="1:11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</row>
  </sheetData>
  <sheetProtection/>
  <mergeCells count="22">
    <mergeCell ref="A1:K1"/>
    <mergeCell ref="A2:K2"/>
    <mergeCell ref="A3:K3"/>
    <mergeCell ref="A5:K5"/>
    <mergeCell ref="A9:K9"/>
    <mergeCell ref="A10:K10"/>
    <mergeCell ref="A11:K11"/>
    <mergeCell ref="A31:F31"/>
    <mergeCell ref="A32:C32"/>
    <mergeCell ref="A35:G35"/>
    <mergeCell ref="B37:C37"/>
    <mergeCell ref="F37:G37"/>
    <mergeCell ref="B42:C42"/>
    <mergeCell ref="F42:G42"/>
    <mergeCell ref="B38:C38"/>
    <mergeCell ref="F38:G38"/>
    <mergeCell ref="B39:C39"/>
    <mergeCell ref="F39:G39"/>
    <mergeCell ref="F40:G40"/>
    <mergeCell ref="F41:G41"/>
    <mergeCell ref="B40:C40"/>
    <mergeCell ref="B41:C41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31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476</v>
      </c>
      <c r="H7" s="60"/>
    </row>
    <row r="8" spans="1:10" s="59" customFormat="1" ht="12.75">
      <c r="A8" s="59" t="s">
        <v>3</v>
      </c>
      <c r="F8" s="310" t="s">
        <v>477</v>
      </c>
      <c r="H8" s="313">
        <f>I8+J8</f>
        <v>1385.3</v>
      </c>
      <c r="I8" s="61">
        <v>330.3</v>
      </c>
      <c r="J8" s="61">
        <v>1055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v>0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16181.16</v>
      </c>
      <c r="E16" s="76">
        <v>13334.22</v>
      </c>
      <c r="F16" s="76">
        <f aca="true" t="shared" si="0" ref="F16:F22">D16</f>
        <v>16181.16</v>
      </c>
      <c r="G16" s="77">
        <f>D16-E16</f>
        <v>2846.9400000000005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5666.681538461539</v>
      </c>
      <c r="E17" s="83">
        <f>E16*I17</f>
        <v>4669.676234817814</v>
      </c>
      <c r="F17" s="83">
        <f t="shared" si="0"/>
        <v>5666.681538461539</v>
      </c>
      <c r="G17" s="84">
        <f>D17-E17</f>
        <v>997.0053036437257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2767.83</v>
      </c>
      <c r="E18" s="83">
        <f>E16*I18</f>
        <v>2280.8534210526313</v>
      </c>
      <c r="F18" s="83">
        <f t="shared" si="0"/>
        <v>2767.83</v>
      </c>
      <c r="G18" s="84">
        <f>D18-E18</f>
        <v>486.9765789473686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2767.83</v>
      </c>
      <c r="E19" s="83">
        <f>E16*I19</f>
        <v>2280.8534210526313</v>
      </c>
      <c r="F19" s="83">
        <f t="shared" si="0"/>
        <v>2767.83</v>
      </c>
      <c r="G19" s="84">
        <f>D19-E19</f>
        <v>486.9765789473686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4978.818461538462</v>
      </c>
      <c r="E20" s="83">
        <f>E16*I20</f>
        <v>4102.836923076923</v>
      </c>
      <c r="F20" s="83">
        <f t="shared" si="0"/>
        <v>4978.818461538462</v>
      </c>
      <c r="G20" s="84">
        <f>D20-E20</f>
        <v>875.9815384615385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230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212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5</v>
      </c>
      <c r="D24" s="87">
        <v>8182.5</v>
      </c>
      <c r="E24" s="87">
        <v>6748.07</v>
      </c>
      <c r="F24" s="87">
        <f>F38</f>
        <v>67.4807</v>
      </c>
      <c r="G24" s="77">
        <f t="shared" si="1"/>
        <v>1434.4300000000003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14820.1</v>
      </c>
      <c r="E26" s="77">
        <f>SUM(E27:E30)</f>
        <v>11388.68</v>
      </c>
      <c r="F26" s="77">
        <f>SUM(F27:F30)</f>
        <v>14820.1</v>
      </c>
      <c r="G26" s="77">
        <f t="shared" si="1"/>
        <v>3431.42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>
        <v>5.3</v>
      </c>
      <c r="D27" s="84">
        <v>2226.01</v>
      </c>
      <c r="E27" s="84">
        <v>1835.77</v>
      </c>
      <c r="F27" s="84">
        <f>D27</f>
        <v>2226.01</v>
      </c>
      <c r="G27" s="84">
        <f t="shared" si="1"/>
        <v>390.24000000000024</v>
      </c>
    </row>
    <row r="28" spans="1:7" ht="15">
      <c r="A28" s="34" t="s">
        <v>39</v>
      </c>
      <c r="B28" s="34" t="s">
        <v>142</v>
      </c>
      <c r="C28" s="293">
        <v>50.85</v>
      </c>
      <c r="D28" s="84">
        <v>12594.09</v>
      </c>
      <c r="E28" s="84">
        <v>9552.91</v>
      </c>
      <c r="F28" s="84">
        <f>D28</f>
        <v>12594.09</v>
      </c>
      <c r="G28" s="84">
        <f t="shared" si="1"/>
        <v>3041.1800000000003</v>
      </c>
    </row>
    <row r="29" spans="1:7" ht="15">
      <c r="A29" s="34" t="s">
        <v>42</v>
      </c>
      <c r="B29" s="51" t="s">
        <v>143</v>
      </c>
      <c r="C29" s="294">
        <v>0</v>
      </c>
      <c r="D29" s="84">
        <v>0</v>
      </c>
      <c r="E29" s="84">
        <v>0</v>
      </c>
      <c r="F29" s="84">
        <v>0</v>
      </c>
      <c r="G29" s="84">
        <f t="shared" si="1"/>
        <v>0</v>
      </c>
    </row>
    <row r="30" spans="1:7" s="279" customFormat="1" ht="15">
      <c r="A30" s="274" t="s">
        <v>41</v>
      </c>
      <c r="B30" s="274" t="s">
        <v>43</v>
      </c>
      <c r="C30" s="145">
        <v>0</v>
      </c>
      <c r="D30" s="216">
        <v>0</v>
      </c>
      <c r="E30" s="216">
        <v>0</v>
      </c>
      <c r="F30" s="216">
        <f>D30</f>
        <v>0</v>
      </c>
      <c r="G30" s="84">
        <f t="shared" si="1"/>
        <v>0</v>
      </c>
    </row>
    <row r="31" spans="1:9" s="102" customFormat="1" ht="19.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71">
        <v>68977.72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316">
        <f>G13+E24-F24</f>
        <v>6680.5893</v>
      </c>
      <c r="H34" s="62"/>
      <c r="I34" s="62"/>
    </row>
    <row r="35" spans="1:11" ht="31.5" customHeight="1">
      <c r="A35" s="509" t="s">
        <v>189</v>
      </c>
      <c r="B35" s="510"/>
      <c r="C35" s="510"/>
      <c r="D35" s="510"/>
      <c r="E35" s="510"/>
      <c r="F35" s="510"/>
      <c r="G35" s="510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2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SUM(F39:G40)</f>
        <v>67.4807</v>
      </c>
      <c r="G38" s="404"/>
      <c r="H38" s="253"/>
      <c r="I38" s="254"/>
      <c r="L38" s="116"/>
    </row>
    <row r="39" spans="1:12" ht="15">
      <c r="A39" s="34" t="s">
        <v>16</v>
      </c>
      <c r="B39" s="369"/>
      <c r="C39" s="371"/>
      <c r="D39" s="119"/>
      <c r="E39" s="119"/>
      <c r="F39" s="455"/>
      <c r="G39" s="456"/>
      <c r="H39" s="255"/>
      <c r="I39" s="256"/>
      <c r="L39" s="120"/>
    </row>
    <row r="40" spans="1:11" s="67" customFormat="1" ht="15">
      <c r="A40" s="34" t="s">
        <v>18</v>
      </c>
      <c r="B40" s="408" t="s">
        <v>198</v>
      </c>
      <c r="C40" s="409"/>
      <c r="D40" s="125"/>
      <c r="E40" s="125"/>
      <c r="F40" s="410">
        <f>E24*1%</f>
        <v>67.4807</v>
      </c>
      <c r="G40" s="410"/>
      <c r="H40" s="59"/>
      <c r="I40" s="59"/>
      <c r="J40" s="59"/>
      <c r="K40" s="59"/>
    </row>
    <row r="41" s="59" customFormat="1" ht="9" customHeight="1"/>
    <row r="42" spans="1:11" s="59" customFormat="1" ht="15">
      <c r="A42" s="67" t="s">
        <v>55</v>
      </c>
      <c r="B42" s="67"/>
      <c r="C42" s="127" t="s">
        <v>49</v>
      </c>
      <c r="D42" s="67"/>
      <c r="E42" s="67"/>
      <c r="F42" s="67" t="s">
        <v>93</v>
      </c>
      <c r="G42" s="67"/>
      <c r="H42" s="67"/>
      <c r="I42" s="67"/>
      <c r="J42" s="67"/>
      <c r="K42" s="67"/>
    </row>
    <row r="43" spans="1:7" s="59" customFormat="1" ht="15">
      <c r="A43" s="67"/>
      <c r="B43" s="67"/>
      <c r="C43" s="127"/>
      <c r="D43" s="67"/>
      <c r="E43" s="67"/>
      <c r="F43" s="128" t="s">
        <v>516</v>
      </c>
      <c r="G43" s="67"/>
    </row>
    <row r="44" spans="1:10" s="59" customFormat="1" ht="15">
      <c r="A44" s="67" t="s">
        <v>50</v>
      </c>
      <c r="B44" s="67"/>
      <c r="C44" s="127"/>
      <c r="D44" s="67"/>
      <c r="E44" s="67"/>
      <c r="F44" s="67"/>
      <c r="G44" s="67"/>
      <c r="H44" s="158"/>
      <c r="I44" s="158"/>
      <c r="J44" s="158"/>
    </row>
    <row r="45" spans="1:11" ht="15">
      <c r="A45" s="67"/>
      <c r="B45" s="67"/>
      <c r="C45" s="129" t="s">
        <v>51</v>
      </c>
      <c r="D45" s="67"/>
      <c r="E45" s="130"/>
      <c r="F45" s="130"/>
      <c r="G45" s="130"/>
      <c r="H45" s="59"/>
      <c r="I45" s="59"/>
      <c r="J45" s="59"/>
      <c r="K45" s="59"/>
    </row>
    <row r="46" spans="1:11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</row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31:F31"/>
    <mergeCell ref="A32:C32"/>
    <mergeCell ref="A35:G35"/>
    <mergeCell ref="B37:C37"/>
    <mergeCell ref="F37:G37"/>
    <mergeCell ref="B40:C40"/>
    <mergeCell ref="F40:G40"/>
    <mergeCell ref="B38:C38"/>
    <mergeCell ref="F38:G38"/>
    <mergeCell ref="B39:C39"/>
    <mergeCell ref="F39:G3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22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9.00390625" style="35" customWidth="1"/>
    <col min="3" max="3" width="14.7109375" style="35" customWidth="1"/>
    <col min="4" max="4" width="12.57421875" style="35" customWidth="1"/>
    <col min="5" max="5" width="12.7109375" style="35" customWidth="1"/>
    <col min="6" max="6" width="12.281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140625" style="35" bestFit="1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6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4.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6.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7.5" customHeight="1"/>
    <row r="7" spans="1:5" s="67" customFormat="1" ht="16.5" customHeight="1">
      <c r="A7" s="67" t="s">
        <v>2</v>
      </c>
      <c r="E7" s="128" t="s">
        <v>64</v>
      </c>
    </row>
    <row r="8" spans="1:5" s="67" customFormat="1" ht="15">
      <c r="A8" s="67" t="s">
        <v>3</v>
      </c>
      <c r="E8" s="128" t="s">
        <v>393</v>
      </c>
    </row>
    <row r="9" s="67" customFormat="1" ht="7.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'[1]Социалистическая 9'!$G$37</f>
        <v>27785.29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'[1]Социалистическая 9'!$G$38</f>
        <v>-30771.247099999993</v>
      </c>
      <c r="H15" s="62"/>
      <c r="I15" s="62"/>
    </row>
    <row r="16" s="67" customFormat="1" ht="9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169" customFormat="1" ht="15">
      <c r="A18" s="75" t="s">
        <v>14</v>
      </c>
      <c r="B18" s="41" t="s">
        <v>15</v>
      </c>
      <c r="C18" s="137">
        <f>C19+C20+C21+C22</f>
        <v>9.879999999999999</v>
      </c>
      <c r="D18" s="76">
        <v>190386.44</v>
      </c>
      <c r="E18" s="76">
        <v>188496.67</v>
      </c>
      <c r="F18" s="76">
        <f>D18</f>
        <v>190386.44</v>
      </c>
      <c r="G18" s="77">
        <f>D18-E18</f>
        <v>1889.7699999999895</v>
      </c>
      <c r="H18" s="14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66673.7937651822</v>
      </c>
      <c r="E19" s="83">
        <f>E18*I19</f>
        <v>66011.99172064778</v>
      </c>
      <c r="F19" s="83">
        <f>D19</f>
        <v>66673.7937651822</v>
      </c>
      <c r="G19" s="84">
        <f>D19-E19</f>
        <v>661.8020445344155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32566.10157894737</v>
      </c>
      <c r="E20" s="83">
        <f>E18*I20</f>
        <v>32242.851447368423</v>
      </c>
      <c r="F20" s="83">
        <f>D20</f>
        <v>32566.10157894737</v>
      </c>
      <c r="G20" s="84">
        <f>D20-E20</f>
        <v>323.25013157894864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32566.10157894737</v>
      </c>
      <c r="E21" s="83">
        <f>E18*I21</f>
        <v>32242.851447368423</v>
      </c>
      <c r="F21" s="83">
        <f>D21</f>
        <v>32566.10157894737</v>
      </c>
      <c r="G21" s="84">
        <f>D21-E21</f>
        <v>323.25013157894864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58580.44307692308</v>
      </c>
      <c r="E22" s="83">
        <f>E18*I22</f>
        <v>57998.97538461539</v>
      </c>
      <c r="F22" s="83">
        <f>D22</f>
        <v>58580.44307692308</v>
      </c>
      <c r="G22" s="84">
        <f>D22-E22</f>
        <v>581.4676923076913</v>
      </c>
      <c r="H22" s="147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2" t="s">
        <v>26</v>
      </c>
      <c r="C23" s="97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4.2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2" t="s">
        <v>168</v>
      </c>
      <c r="C25" s="143">
        <v>12.54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2" t="s">
        <v>119</v>
      </c>
      <c r="C26" s="97">
        <v>1.86</v>
      </c>
      <c r="D26" s="77">
        <v>35831.52</v>
      </c>
      <c r="E26" s="77">
        <v>35529</v>
      </c>
      <c r="F26" s="76">
        <f>F43</f>
        <v>14376.390000000001</v>
      </c>
      <c r="G26" s="77">
        <f t="shared" si="1"/>
        <v>302.5199999999968</v>
      </c>
      <c r="M26" s="184"/>
    </row>
    <row r="27" spans="1:7" s="39" customFormat="1" ht="14.25">
      <c r="A27" s="41" t="s">
        <v>33</v>
      </c>
      <c r="B27" s="136" t="s">
        <v>34</v>
      </c>
      <c r="C27" s="46">
        <v>0</v>
      </c>
      <c r="D27" s="77">
        <v>0</v>
      </c>
      <c r="E27" s="77">
        <v>0</v>
      </c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6" t="s">
        <v>36</v>
      </c>
      <c r="C28" s="97"/>
      <c r="D28" s="77">
        <f>SUM(D29:D32)</f>
        <v>826756.99</v>
      </c>
      <c r="E28" s="77">
        <f>SUM(E29:E32)</f>
        <v>826617.74</v>
      </c>
      <c r="F28" s="76">
        <f t="shared" si="0"/>
        <v>826756.99</v>
      </c>
      <c r="G28" s="77">
        <f t="shared" si="1"/>
        <v>139.25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4513.74</v>
      </c>
      <c r="E29" s="84">
        <v>4473.12</v>
      </c>
      <c r="F29" s="83">
        <f>D29</f>
        <v>4513.74</v>
      </c>
      <c r="G29" s="84">
        <f t="shared" si="1"/>
        <v>40.61999999999989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230004.03</v>
      </c>
      <c r="E30" s="84">
        <v>236145.68</v>
      </c>
      <c r="F30" s="83">
        <f t="shared" si="0"/>
        <v>230004.03</v>
      </c>
      <c r="G30" s="84">
        <f t="shared" si="1"/>
        <v>-6141.649999999994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93" t="s">
        <v>380</v>
      </c>
      <c r="D32" s="84">
        <v>592239.22</v>
      </c>
      <c r="E32" s="84">
        <v>585998.94</v>
      </c>
      <c r="F32" s="83">
        <f t="shared" si="0"/>
        <v>592239.22</v>
      </c>
      <c r="G32" s="84">
        <f t="shared" si="1"/>
        <v>6240.280000000028</v>
      </c>
    </row>
    <row r="33" spans="1:10" s="102" customFormat="1" ht="17.25" customHeight="1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65">
        <v>221957.27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27785.29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-9618.637099999994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2:5" ht="8.25" customHeight="1">
      <c r="B39" s="156"/>
      <c r="C39" s="156"/>
      <c r="D39" s="156"/>
      <c r="E39" s="156"/>
    </row>
    <row r="40" spans="1:9" ht="24.75" customHeight="1">
      <c r="A40" s="367" t="s">
        <v>44</v>
      </c>
      <c r="B40" s="367"/>
      <c r="C40" s="367"/>
      <c r="D40" s="367"/>
      <c r="E40" s="367"/>
      <c r="F40" s="367"/>
      <c r="G40" s="367"/>
      <c r="H40" s="367"/>
      <c r="I40" s="367"/>
    </row>
    <row r="41" ht="8.25" customHeight="1"/>
    <row r="42" spans="1:7" s="173" customFormat="1" ht="28.5" customHeight="1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4"/>
    </row>
    <row r="43" spans="1:7" s="115" customFormat="1" ht="13.5" customHeight="1">
      <c r="A43" s="109">
        <v>1</v>
      </c>
      <c r="B43" s="396" t="s">
        <v>114</v>
      </c>
      <c r="C43" s="399"/>
      <c r="D43" s="174"/>
      <c r="E43" s="174"/>
      <c r="F43" s="411">
        <f>SUM(F44:G47)</f>
        <v>14376.390000000001</v>
      </c>
      <c r="G43" s="404"/>
    </row>
    <row r="44" spans="1:7" s="115" customFormat="1" ht="13.5" customHeight="1">
      <c r="A44" s="34" t="s">
        <v>16</v>
      </c>
      <c r="B44" s="408" t="s">
        <v>525</v>
      </c>
      <c r="C44" s="409"/>
      <c r="D44" s="193" t="s">
        <v>241</v>
      </c>
      <c r="E44" s="193">
        <v>0.02</v>
      </c>
      <c r="F44" s="410">
        <v>1566.33</v>
      </c>
      <c r="G44" s="410"/>
    </row>
    <row r="45" spans="1:7" s="115" customFormat="1" ht="13.5" customHeight="1">
      <c r="A45" s="34" t="s">
        <v>18</v>
      </c>
      <c r="B45" s="369" t="s">
        <v>526</v>
      </c>
      <c r="C45" s="415"/>
      <c r="D45" s="193" t="s">
        <v>241</v>
      </c>
      <c r="E45" s="154">
        <v>0.02</v>
      </c>
      <c r="F45" s="398">
        <v>2054.77</v>
      </c>
      <c r="G45" s="398"/>
    </row>
    <row r="46" spans="1:7" s="115" customFormat="1" ht="13.5" customHeight="1">
      <c r="A46" s="34" t="s">
        <v>20</v>
      </c>
      <c r="B46" s="369" t="s">
        <v>524</v>
      </c>
      <c r="C46" s="415"/>
      <c r="D46" s="193" t="s">
        <v>173</v>
      </c>
      <c r="E46" s="154">
        <v>8</v>
      </c>
      <c r="F46" s="398">
        <v>10400</v>
      </c>
      <c r="G46" s="398"/>
    </row>
    <row r="47" spans="1:7" ht="13.5" customHeight="1">
      <c r="A47" s="34" t="s">
        <v>22</v>
      </c>
      <c r="B47" s="408" t="s">
        <v>198</v>
      </c>
      <c r="C47" s="409"/>
      <c r="D47" s="193"/>
      <c r="E47" s="193"/>
      <c r="F47" s="410">
        <f>E26*1%</f>
        <v>355.29</v>
      </c>
      <c r="G47" s="410"/>
    </row>
    <row r="48" s="67" customFormat="1" ht="15"/>
    <row r="49" spans="1:6" s="67" customFormat="1" ht="15">
      <c r="A49" s="67" t="s">
        <v>55</v>
      </c>
      <c r="C49" s="67" t="s">
        <v>49</v>
      </c>
      <c r="F49" s="67" t="s">
        <v>93</v>
      </c>
    </row>
    <row r="50" s="67" customFormat="1" ht="13.5" customHeight="1">
      <c r="F50" s="128" t="s">
        <v>516</v>
      </c>
    </row>
    <row r="51" s="67" customFormat="1" ht="15">
      <c r="A51" s="67" t="s">
        <v>50</v>
      </c>
    </row>
    <row r="52" spans="3:7" s="67" customFormat="1" ht="11.25" customHeight="1">
      <c r="C52" s="130" t="s">
        <v>51</v>
      </c>
      <c r="E52" s="130"/>
      <c r="F52" s="130"/>
      <c r="G52" s="130"/>
    </row>
    <row r="53" s="67" customFormat="1" ht="15"/>
    <row r="54" s="67" customFormat="1" ht="15"/>
  </sheetData>
  <sheetProtection/>
  <mergeCells count="22">
    <mergeCell ref="F46:G46"/>
    <mergeCell ref="F44:G44"/>
    <mergeCell ref="B45:C45"/>
    <mergeCell ref="F45:G45"/>
    <mergeCell ref="A12:I12"/>
    <mergeCell ref="A33:F33"/>
    <mergeCell ref="A11:I11"/>
    <mergeCell ref="A1:I1"/>
    <mergeCell ref="A2:I2"/>
    <mergeCell ref="A5:I5"/>
    <mergeCell ref="A10:I10"/>
    <mergeCell ref="A3:K3"/>
    <mergeCell ref="B47:C47"/>
    <mergeCell ref="F47:G47"/>
    <mergeCell ref="A34:C34"/>
    <mergeCell ref="F43:G43"/>
    <mergeCell ref="A40:I40"/>
    <mergeCell ref="F42:G42"/>
    <mergeCell ref="B42:C42"/>
    <mergeCell ref="B43:C43"/>
    <mergeCell ref="B44:C44"/>
    <mergeCell ref="B46:C4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25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0.57421875" style="35" customWidth="1"/>
    <col min="3" max="3" width="13.140625" style="35" customWidth="1"/>
    <col min="4" max="4" width="12.8515625" style="35" customWidth="1"/>
    <col min="5" max="5" width="13.421875" style="35" customWidth="1"/>
    <col min="6" max="6" width="13.00390625" style="35" customWidth="1"/>
    <col min="7" max="7" width="14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140625" style="35" bestFit="1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7.25" customHeight="1">
      <c r="A3" s="366" t="s">
        <v>272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11.2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3.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7" spans="1:5" s="67" customFormat="1" ht="16.5" customHeight="1">
      <c r="A7" s="67" t="s">
        <v>2</v>
      </c>
      <c r="E7" s="128" t="s">
        <v>65</v>
      </c>
    </row>
    <row r="8" spans="1:10" s="67" customFormat="1" ht="15">
      <c r="A8" s="67" t="s">
        <v>3</v>
      </c>
      <c r="E8" s="299" t="s">
        <v>260</v>
      </c>
      <c r="I8" s="204">
        <v>617.3</v>
      </c>
      <c r="J8" s="204">
        <v>2428.3</v>
      </c>
    </row>
    <row r="9" s="67" customFormat="1" ht="8.2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'[1]Социалистическая 12'!$G$37</f>
        <v>22929.33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'[1]Социалистическая 12'!$G$38</f>
        <v>50784.85110000001</v>
      </c>
      <c r="H15" s="62"/>
      <c r="I15" s="62"/>
    </row>
    <row r="16" s="67" customFormat="1" ht="7.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169" customFormat="1" ht="31.5" customHeight="1">
      <c r="A18" s="75" t="s">
        <v>14</v>
      </c>
      <c r="B18" s="41" t="s">
        <v>15</v>
      </c>
      <c r="C18" s="137">
        <f>C19+C20+C21+C22</f>
        <v>10.34</v>
      </c>
      <c r="D18" s="76">
        <v>311980.39</v>
      </c>
      <c r="E18" s="76">
        <v>286784.11</v>
      </c>
      <c r="F18" s="76">
        <f>D18</f>
        <v>311980.39</v>
      </c>
      <c r="G18" s="77">
        <f>D18-E18</f>
        <v>25196.280000000028</v>
      </c>
      <c r="H18" s="138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104395.75912959382</v>
      </c>
      <c r="E19" s="83">
        <f>E18*I19</f>
        <v>95964.50876208898</v>
      </c>
      <c r="F19" s="83">
        <f>D19</f>
        <v>104395.75912959382</v>
      </c>
      <c r="G19" s="84">
        <f>D19-E19</f>
        <v>8431.250367504836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50990.99217601547</v>
      </c>
      <c r="E20" s="83">
        <f>E18*I20</f>
        <v>46872.83809477756</v>
      </c>
      <c r="F20" s="83">
        <f>D20</f>
        <v>50990.99217601547</v>
      </c>
      <c r="G20" s="84">
        <f>D20-E20</f>
        <v>4118.15408123791</v>
      </c>
      <c r="H20" s="78">
        <f>C20</f>
        <v>1.69</v>
      </c>
      <c r="I20" s="67">
        <f>H20/H18</f>
        <v>0.1634429400386847</v>
      </c>
    </row>
    <row r="21" spans="1:9" s="67" customFormat="1" ht="15" customHeight="1">
      <c r="A21" s="81" t="s">
        <v>20</v>
      </c>
      <c r="B21" s="34" t="s">
        <v>21</v>
      </c>
      <c r="C21" s="99">
        <v>2.15</v>
      </c>
      <c r="D21" s="83">
        <f>D18*I21</f>
        <v>64870.19714700194</v>
      </c>
      <c r="E21" s="83">
        <f>E18*I21</f>
        <v>59631.12538684719</v>
      </c>
      <c r="F21" s="83">
        <f>D21</f>
        <v>64870.19714700194</v>
      </c>
      <c r="G21" s="84">
        <f>D21-E21</f>
        <v>5239.071760154751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91723.4415473888</v>
      </c>
      <c r="E22" s="83">
        <f>E18*I22</f>
        <v>84315.63775628626</v>
      </c>
      <c r="F22" s="83">
        <f>D22</f>
        <v>91723.4415473888</v>
      </c>
      <c r="G22" s="84">
        <f>D22-E22</f>
        <v>7407.803791102531</v>
      </c>
      <c r="H22" s="78">
        <f>C22</f>
        <v>3.04</v>
      </c>
      <c r="I22" s="67">
        <f>H22/H18</f>
        <v>0.2940038684719536</v>
      </c>
    </row>
    <row r="23" spans="1:7" s="39" customFormat="1" ht="15" customHeight="1">
      <c r="A23" s="41" t="s">
        <v>25</v>
      </c>
      <c r="B23" s="142" t="s">
        <v>26</v>
      </c>
      <c r="C23" s="143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3.5" customHeight="1">
      <c r="A24" s="41" t="s">
        <v>27</v>
      </c>
      <c r="B24" s="142" t="s">
        <v>28</v>
      </c>
      <c r="C24" s="143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5.75" customHeight="1">
      <c r="A25" s="41" t="s">
        <v>29</v>
      </c>
      <c r="B25" s="142" t="s">
        <v>168</v>
      </c>
      <c r="C25" s="143" t="s">
        <v>394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2" t="s">
        <v>119</v>
      </c>
      <c r="C26" s="143">
        <v>2.82</v>
      </c>
      <c r="D26" s="77">
        <v>82173.48</v>
      </c>
      <c r="E26" s="77">
        <v>79207.25</v>
      </c>
      <c r="F26" s="76">
        <f>F42</f>
        <v>70166.6025</v>
      </c>
      <c r="G26" s="77">
        <f t="shared" si="1"/>
        <v>2966.229999999996</v>
      </c>
      <c r="M26" s="184"/>
    </row>
    <row r="27" spans="1:7" s="39" customFormat="1" ht="14.25">
      <c r="A27" s="41" t="s">
        <v>33</v>
      </c>
      <c r="B27" s="136" t="s">
        <v>34</v>
      </c>
      <c r="C27" s="137">
        <v>0</v>
      </c>
      <c r="D27" s="77">
        <v>0</v>
      </c>
      <c r="E27" s="77">
        <v>0.04</v>
      </c>
      <c r="F27" s="76">
        <f>D27</f>
        <v>0</v>
      </c>
      <c r="G27" s="77">
        <f t="shared" si="1"/>
        <v>-0.04</v>
      </c>
    </row>
    <row r="28" spans="1:7" s="39" customFormat="1" ht="14.25">
      <c r="A28" s="41" t="s">
        <v>35</v>
      </c>
      <c r="B28" s="136" t="s">
        <v>36</v>
      </c>
      <c r="C28" s="137"/>
      <c r="D28" s="77">
        <f>SUM(D29:D32)</f>
        <v>1587787.92</v>
      </c>
      <c r="E28" s="77">
        <f>SUM(E29:E32)</f>
        <v>1482701.0899999999</v>
      </c>
      <c r="F28" s="76">
        <f t="shared" si="0"/>
        <v>1587787.92</v>
      </c>
      <c r="G28" s="77">
        <f t="shared" si="1"/>
        <v>105086.83000000007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66409.83</v>
      </c>
      <c r="E29" s="84">
        <v>55388.34</v>
      </c>
      <c r="F29" s="83">
        <f>D29</f>
        <v>66409.83</v>
      </c>
      <c r="G29" s="84">
        <f t="shared" si="1"/>
        <v>11021.490000000005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263627.82</v>
      </c>
      <c r="E30" s="84">
        <v>252750.01</v>
      </c>
      <c r="F30" s="83">
        <f t="shared" si="0"/>
        <v>263627.82</v>
      </c>
      <c r="G30" s="84">
        <f t="shared" si="1"/>
        <v>10877.809999999998</v>
      </c>
    </row>
    <row r="31" spans="1:7" ht="15">
      <c r="A31" s="34" t="s">
        <v>42</v>
      </c>
      <c r="B31" s="34" t="s">
        <v>143</v>
      </c>
      <c r="C31" s="294" t="s">
        <v>381</v>
      </c>
      <c r="D31" s="84">
        <v>442918.89</v>
      </c>
      <c r="E31" s="84">
        <v>399331.87</v>
      </c>
      <c r="F31" s="83">
        <f t="shared" si="0"/>
        <v>442918.89</v>
      </c>
      <c r="G31" s="84">
        <f t="shared" si="1"/>
        <v>43587.02000000002</v>
      </c>
    </row>
    <row r="32" spans="1:7" ht="15" customHeight="1">
      <c r="A32" s="34" t="s">
        <v>41</v>
      </c>
      <c r="B32" s="34" t="s">
        <v>43</v>
      </c>
      <c r="C32" s="293" t="s">
        <v>380</v>
      </c>
      <c r="D32" s="84">
        <v>814831.38</v>
      </c>
      <c r="E32" s="84">
        <v>775230.87</v>
      </c>
      <c r="F32" s="83">
        <f t="shared" si="0"/>
        <v>814831.38</v>
      </c>
      <c r="G32" s="84">
        <f t="shared" si="1"/>
        <v>39600.51000000001</v>
      </c>
    </row>
    <row r="33" spans="1:10" s="102" customFormat="1" ht="23.25" customHeight="1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65">
        <v>1297295.15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22929.370000000003</v>
      </c>
      <c r="H36" s="62"/>
      <c r="I36" s="62"/>
    </row>
    <row r="37" spans="1:13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59825.498600000006</v>
      </c>
      <c r="H37" s="62"/>
      <c r="I37" s="62"/>
      <c r="M37" s="147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6.25" customHeight="1">
      <c r="A39" s="367" t="s">
        <v>44</v>
      </c>
      <c r="B39" s="367"/>
      <c r="C39" s="367"/>
      <c r="D39" s="367"/>
      <c r="E39" s="367"/>
      <c r="F39" s="367"/>
      <c r="G39" s="367"/>
      <c r="H39" s="367"/>
      <c r="I39" s="367"/>
    </row>
    <row r="41" spans="1:7" s="173" customFormat="1" ht="28.5" customHeight="1">
      <c r="A41" s="105" t="s">
        <v>11</v>
      </c>
      <c r="B41" s="394" t="s">
        <v>45</v>
      </c>
      <c r="C41" s="405"/>
      <c r="D41" s="105" t="s">
        <v>170</v>
      </c>
      <c r="E41" s="105" t="s">
        <v>169</v>
      </c>
      <c r="F41" s="394" t="s">
        <v>46</v>
      </c>
      <c r="G41" s="404"/>
    </row>
    <row r="42" spans="1:7" s="115" customFormat="1" ht="12.75" customHeight="1">
      <c r="A42" s="109" t="s">
        <v>47</v>
      </c>
      <c r="B42" s="396" t="s">
        <v>114</v>
      </c>
      <c r="C42" s="399"/>
      <c r="D42" s="174"/>
      <c r="E42" s="174"/>
      <c r="F42" s="411">
        <f>SUM(F43:G47)</f>
        <v>70166.6025</v>
      </c>
      <c r="G42" s="404"/>
    </row>
    <row r="43" spans="1:7" ht="28.5" customHeight="1">
      <c r="A43" s="34" t="s">
        <v>16</v>
      </c>
      <c r="B43" s="369" t="s">
        <v>527</v>
      </c>
      <c r="C43" s="371"/>
      <c r="D43" s="153" t="s">
        <v>248</v>
      </c>
      <c r="E43" s="153">
        <v>1</v>
      </c>
      <c r="F43" s="410">
        <v>17697.55</v>
      </c>
      <c r="G43" s="410"/>
    </row>
    <row r="44" spans="1:7" ht="12.75" customHeight="1">
      <c r="A44" s="34" t="s">
        <v>18</v>
      </c>
      <c r="B44" s="117" t="s">
        <v>528</v>
      </c>
      <c r="C44" s="118"/>
      <c r="D44" s="153" t="s">
        <v>248</v>
      </c>
      <c r="E44" s="153">
        <v>2</v>
      </c>
      <c r="F44" s="410">
        <v>2405.34</v>
      </c>
      <c r="G44" s="410"/>
    </row>
    <row r="45" spans="1:7" ht="12.75" customHeight="1">
      <c r="A45" s="34" t="s">
        <v>20</v>
      </c>
      <c r="B45" s="117" t="s">
        <v>529</v>
      </c>
      <c r="C45" s="118"/>
      <c r="D45" s="153" t="s">
        <v>240</v>
      </c>
      <c r="E45" s="153">
        <v>0.32</v>
      </c>
      <c r="F45" s="410">
        <v>18861.64</v>
      </c>
      <c r="G45" s="410"/>
    </row>
    <row r="46" spans="1:7" ht="24" customHeight="1">
      <c r="A46" s="34" t="s">
        <v>22</v>
      </c>
      <c r="B46" s="369" t="s">
        <v>506</v>
      </c>
      <c r="C46" s="422"/>
      <c r="D46" s="153" t="s">
        <v>248</v>
      </c>
      <c r="E46" s="153">
        <v>1</v>
      </c>
      <c r="F46" s="410">
        <v>30410</v>
      </c>
      <c r="G46" s="410"/>
    </row>
    <row r="47" spans="1:7" ht="12.75" customHeight="1">
      <c r="A47" s="34" t="s">
        <v>24</v>
      </c>
      <c r="B47" s="369" t="s">
        <v>198</v>
      </c>
      <c r="C47" s="371"/>
      <c r="D47" s="153"/>
      <c r="E47" s="153"/>
      <c r="F47" s="420">
        <f>E26*1%</f>
        <v>792.0725</v>
      </c>
      <c r="G47" s="421"/>
    </row>
    <row r="48" spans="2:5" ht="15">
      <c r="B48" s="156"/>
      <c r="C48" s="156"/>
      <c r="D48" s="156"/>
      <c r="E48" s="156"/>
    </row>
    <row r="49" spans="1:6" s="67" customFormat="1" ht="15">
      <c r="A49" s="67" t="s">
        <v>55</v>
      </c>
      <c r="C49" s="67" t="s">
        <v>49</v>
      </c>
      <c r="F49" s="67" t="s">
        <v>93</v>
      </c>
    </row>
    <row r="50" s="67" customFormat="1" ht="13.5" customHeight="1">
      <c r="F50" s="128" t="s">
        <v>516</v>
      </c>
    </row>
    <row r="51" s="67" customFormat="1" ht="15">
      <c r="A51" s="67" t="s">
        <v>50</v>
      </c>
    </row>
    <row r="52" spans="3:7" s="67" customFormat="1" ht="15">
      <c r="C52" s="130" t="s">
        <v>51</v>
      </c>
      <c r="E52" s="130"/>
      <c r="F52" s="130"/>
      <c r="G52" s="130"/>
    </row>
    <row r="53" s="67" customFormat="1" ht="15"/>
    <row r="54" s="67" customFormat="1" ht="15"/>
  </sheetData>
  <sheetProtection/>
  <mergeCells count="22">
    <mergeCell ref="A11:I11"/>
    <mergeCell ref="A34:C34"/>
    <mergeCell ref="A12:I12"/>
    <mergeCell ref="A39:I39"/>
    <mergeCell ref="F42:G42"/>
    <mergeCell ref="F41:G41"/>
    <mergeCell ref="F44:G44"/>
    <mergeCell ref="F45:G45"/>
    <mergeCell ref="F47:G47"/>
    <mergeCell ref="B47:C47"/>
    <mergeCell ref="B46:C46"/>
    <mergeCell ref="F46:G46"/>
    <mergeCell ref="A1:I1"/>
    <mergeCell ref="A2:I2"/>
    <mergeCell ref="A5:I5"/>
    <mergeCell ref="A10:I10"/>
    <mergeCell ref="A3:K3"/>
    <mergeCell ref="F43:G43"/>
    <mergeCell ref="B41:C41"/>
    <mergeCell ref="B42:C42"/>
    <mergeCell ref="A33:F33"/>
    <mergeCell ref="B43:C4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22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4.421875" style="35" customWidth="1"/>
    <col min="3" max="3" width="14.8515625" style="35" customWidth="1"/>
    <col min="4" max="4" width="12.8515625" style="35" customWidth="1"/>
    <col min="5" max="5" width="12.57421875" style="35" customWidth="1"/>
    <col min="6" max="6" width="12.00390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8515625" style="35" bestFit="1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.7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4.2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7" spans="1:6" s="67" customFormat="1" ht="16.5" customHeight="1">
      <c r="A7" s="67" t="s">
        <v>2</v>
      </c>
      <c r="F7" s="128" t="s">
        <v>66</v>
      </c>
    </row>
    <row r="8" spans="1:10" s="67" customFormat="1" ht="15">
      <c r="A8" s="67" t="s">
        <v>3</v>
      </c>
      <c r="F8" s="299" t="s">
        <v>256</v>
      </c>
      <c r="I8" s="204">
        <v>408.8</v>
      </c>
      <c r="J8" s="204">
        <v>1720.2</v>
      </c>
    </row>
    <row r="9" s="67" customFormat="1" ht="6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'[1]Телевизионная 2'!$G$37</f>
        <v>13950.14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'[1]Телевизионная 2'!$G$38</f>
        <v>-175623.25470000002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14" s="169" customFormat="1" ht="28.5">
      <c r="A18" s="75" t="s">
        <v>14</v>
      </c>
      <c r="B18" s="41" t="s">
        <v>15</v>
      </c>
      <c r="C18" s="137">
        <f>C19+C20+C21+C22</f>
        <v>9.879999999999999</v>
      </c>
      <c r="D18" s="76">
        <v>215550.36</v>
      </c>
      <c r="E18" s="76">
        <v>200311.18</v>
      </c>
      <c r="F18" s="76">
        <f>D18</f>
        <v>215550.36</v>
      </c>
      <c r="G18" s="77">
        <f>D18-E18</f>
        <v>15239.179999999993</v>
      </c>
      <c r="H18" s="168">
        <f>C18</f>
        <v>9.879999999999999</v>
      </c>
      <c r="N18" s="168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75486.25967611336</v>
      </c>
      <c r="E19" s="83">
        <f>E18*I19</f>
        <v>70149.46182186235</v>
      </c>
      <c r="F19" s="83">
        <f>D19</f>
        <v>75486.25967611336</v>
      </c>
      <c r="G19" s="84">
        <f>D19-E19</f>
        <v>5336.79785425101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36870.45631578947</v>
      </c>
      <c r="E20" s="83">
        <f>E18*I20</f>
        <v>34263.75447368421</v>
      </c>
      <c r="F20" s="83">
        <f>D20</f>
        <v>36870.45631578947</v>
      </c>
      <c r="G20" s="84">
        <f>D20-E20</f>
        <v>2606.7018421052635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36870.45631578947</v>
      </c>
      <c r="E21" s="83">
        <f>E18*I21</f>
        <v>34263.75447368421</v>
      </c>
      <c r="F21" s="83">
        <f>D21</f>
        <v>36870.45631578947</v>
      </c>
      <c r="G21" s="84">
        <f>D21-E21</f>
        <v>2606.7018421052635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66323.18769230769</v>
      </c>
      <c r="E22" s="83">
        <f>E18*I22</f>
        <v>61634.20923076923</v>
      </c>
      <c r="F22" s="83">
        <f>D22</f>
        <v>66323.18769230769</v>
      </c>
      <c r="G22" s="84">
        <f>D22-E22</f>
        <v>4688.978461538463</v>
      </c>
      <c r="H22" s="147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2" t="s">
        <v>26</v>
      </c>
      <c r="C23" s="97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4.2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2" t="s">
        <v>168</v>
      </c>
      <c r="C25" s="143">
        <v>1902.11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2" t="s">
        <v>119</v>
      </c>
      <c r="C26" s="97">
        <v>1.86</v>
      </c>
      <c r="D26" s="77">
        <v>37982.24</v>
      </c>
      <c r="E26" s="77">
        <v>37775.68</v>
      </c>
      <c r="F26" s="76">
        <f>F42</f>
        <v>36429.77680000001</v>
      </c>
      <c r="G26" s="77">
        <f t="shared" si="1"/>
        <v>206.55999999999767</v>
      </c>
      <c r="M26" s="184"/>
    </row>
    <row r="27" spans="1:7" s="39" customFormat="1" ht="14.25">
      <c r="A27" s="41" t="s">
        <v>33</v>
      </c>
      <c r="B27" s="136" t="s">
        <v>34</v>
      </c>
      <c r="C27" s="46">
        <v>0</v>
      </c>
      <c r="D27" s="77">
        <v>0</v>
      </c>
      <c r="E27" s="77">
        <v>430.57</v>
      </c>
      <c r="F27" s="76">
        <f>D27</f>
        <v>0</v>
      </c>
      <c r="G27" s="77">
        <f t="shared" si="1"/>
        <v>-430.57</v>
      </c>
    </row>
    <row r="28" spans="1:7" s="39" customFormat="1" ht="14.25">
      <c r="A28" s="41" t="s">
        <v>35</v>
      </c>
      <c r="B28" s="136" t="s">
        <v>36</v>
      </c>
      <c r="C28" s="97"/>
      <c r="D28" s="77">
        <f>SUM(D29:D32)</f>
        <v>712653.72</v>
      </c>
      <c r="E28" s="77">
        <f>SUM(E29:E32)</f>
        <v>697184.03</v>
      </c>
      <c r="F28" s="76">
        <f t="shared" si="0"/>
        <v>712653.72</v>
      </c>
      <c r="G28" s="77">
        <f t="shared" si="1"/>
        <v>15469.689999999944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20202.24</v>
      </c>
      <c r="E29" s="84">
        <v>20823.95</v>
      </c>
      <c r="F29" s="83">
        <f>D29</f>
        <v>20202.24</v>
      </c>
      <c r="G29" s="84">
        <f t="shared" si="1"/>
        <v>-621.7099999999991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222099</v>
      </c>
      <c r="E30" s="84">
        <v>216554.36</v>
      </c>
      <c r="F30" s="83">
        <f t="shared" si="0"/>
        <v>222099</v>
      </c>
      <c r="G30" s="84">
        <f t="shared" si="1"/>
        <v>5544.640000000014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93" t="s">
        <v>380</v>
      </c>
      <c r="D32" s="84">
        <v>470352.48</v>
      </c>
      <c r="E32" s="84">
        <v>459805.72</v>
      </c>
      <c r="F32" s="83">
        <f t="shared" si="0"/>
        <v>470352.48</v>
      </c>
      <c r="G32" s="84">
        <f t="shared" si="1"/>
        <v>10546.76000000001</v>
      </c>
    </row>
    <row r="33" spans="1:10" s="102" customFormat="1" ht="21" customHeight="1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65">
        <v>505551.05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14380.71</v>
      </c>
      <c r="H36" s="62"/>
      <c r="I36" s="62"/>
    </row>
    <row r="37" spans="1:13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-174277.35150000005</v>
      </c>
      <c r="H37" s="62"/>
      <c r="I37" s="62"/>
      <c r="M37" s="147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7" customHeight="1">
      <c r="A39" s="367" t="s">
        <v>44</v>
      </c>
      <c r="B39" s="367"/>
      <c r="C39" s="367"/>
      <c r="D39" s="367"/>
      <c r="E39" s="367"/>
      <c r="F39" s="367"/>
      <c r="G39" s="367"/>
      <c r="H39" s="367"/>
      <c r="I39" s="367"/>
    </row>
    <row r="40" ht="4.5" customHeight="1"/>
    <row r="41" spans="1:7" s="173" customFormat="1" ht="28.5" customHeight="1">
      <c r="A41" s="105" t="s">
        <v>11</v>
      </c>
      <c r="B41" s="394" t="s">
        <v>45</v>
      </c>
      <c r="C41" s="405"/>
      <c r="D41" s="105" t="s">
        <v>170</v>
      </c>
      <c r="E41" s="105" t="s">
        <v>169</v>
      </c>
      <c r="F41" s="394" t="s">
        <v>46</v>
      </c>
      <c r="G41" s="404"/>
    </row>
    <row r="42" spans="1:7" s="115" customFormat="1" ht="12.75" customHeight="1">
      <c r="A42" s="109" t="s">
        <v>47</v>
      </c>
      <c r="B42" s="396" t="s">
        <v>114</v>
      </c>
      <c r="C42" s="399"/>
      <c r="D42" s="111"/>
      <c r="E42" s="111"/>
      <c r="F42" s="411">
        <f>SUM(F43:G47)</f>
        <v>36429.77680000001</v>
      </c>
      <c r="G42" s="404"/>
    </row>
    <row r="43" spans="1:7" ht="12.75" customHeight="1">
      <c r="A43" s="34" t="s">
        <v>16</v>
      </c>
      <c r="B43" s="369" t="s">
        <v>530</v>
      </c>
      <c r="C43" s="371"/>
      <c r="D43" s="119" t="s">
        <v>248</v>
      </c>
      <c r="E43" s="122">
        <v>2</v>
      </c>
      <c r="F43" s="420">
        <v>5999.32</v>
      </c>
      <c r="G43" s="421"/>
    </row>
    <row r="44" spans="1:7" ht="12.75" customHeight="1">
      <c r="A44" s="34" t="s">
        <v>18</v>
      </c>
      <c r="B44" s="369" t="s">
        <v>548</v>
      </c>
      <c r="C44" s="371"/>
      <c r="D44" s="119" t="s">
        <v>171</v>
      </c>
      <c r="E44" s="119">
        <v>2</v>
      </c>
      <c r="F44" s="420">
        <v>17052.7</v>
      </c>
      <c r="G44" s="421"/>
    </row>
    <row r="45" spans="1:7" ht="12.75" customHeight="1">
      <c r="A45" s="34" t="s">
        <v>20</v>
      </c>
      <c r="B45" s="117" t="s">
        <v>788</v>
      </c>
      <c r="C45" s="118"/>
      <c r="D45" s="119"/>
      <c r="E45" s="119"/>
      <c r="F45" s="420">
        <v>9000</v>
      </c>
      <c r="G45" s="421"/>
    </row>
    <row r="46" spans="1:7" ht="12.75" customHeight="1">
      <c r="A46" s="34" t="s">
        <v>22</v>
      </c>
      <c r="B46" s="369" t="s">
        <v>789</v>
      </c>
      <c r="C46" s="415"/>
      <c r="D46" s="119"/>
      <c r="E46" s="154"/>
      <c r="F46" s="398">
        <v>4000</v>
      </c>
      <c r="G46" s="398"/>
    </row>
    <row r="47" spans="1:7" ht="12.75" customHeight="1">
      <c r="A47" s="34" t="s">
        <v>24</v>
      </c>
      <c r="B47" s="408" t="s">
        <v>198</v>
      </c>
      <c r="C47" s="409"/>
      <c r="D47" s="126"/>
      <c r="E47" s="126"/>
      <c r="F47" s="420">
        <f>E26*1%</f>
        <v>377.7568</v>
      </c>
      <c r="G47" s="421"/>
    </row>
    <row r="48" spans="1:7" ht="12.75" customHeight="1">
      <c r="A48" s="170"/>
      <c r="B48" s="93"/>
      <c r="C48" s="93"/>
      <c r="D48" s="94"/>
      <c r="E48" s="94"/>
      <c r="F48" s="183"/>
      <c r="G48" s="183"/>
    </row>
    <row r="49" spans="1:6" s="67" customFormat="1" ht="15">
      <c r="A49" s="67" t="s">
        <v>55</v>
      </c>
      <c r="C49" s="67" t="s">
        <v>49</v>
      </c>
      <c r="F49" s="67" t="s">
        <v>93</v>
      </c>
    </row>
    <row r="50" s="67" customFormat="1" ht="13.5" customHeight="1">
      <c r="F50" s="128" t="s">
        <v>516</v>
      </c>
    </row>
    <row r="51" s="67" customFormat="1" ht="15">
      <c r="A51" s="67" t="s">
        <v>50</v>
      </c>
    </row>
    <row r="52" spans="3:7" s="67" customFormat="1" ht="15">
      <c r="C52" s="130" t="s">
        <v>51</v>
      </c>
      <c r="E52" s="130"/>
      <c r="F52" s="130"/>
      <c r="G52" s="130"/>
    </row>
    <row r="53" s="67" customFormat="1" ht="15"/>
    <row r="54" s="67" customFormat="1" ht="15"/>
  </sheetData>
  <sheetProtection/>
  <mergeCells count="23">
    <mergeCell ref="B42:C42"/>
    <mergeCell ref="B46:C46"/>
    <mergeCell ref="F46:G46"/>
    <mergeCell ref="A34:C34"/>
    <mergeCell ref="F43:G43"/>
    <mergeCell ref="B43:C43"/>
    <mergeCell ref="F45:G45"/>
    <mergeCell ref="A11:I11"/>
    <mergeCell ref="A12:I12"/>
    <mergeCell ref="A39:I39"/>
    <mergeCell ref="F41:G41"/>
    <mergeCell ref="B41:C41"/>
    <mergeCell ref="A33:F33"/>
    <mergeCell ref="A1:I1"/>
    <mergeCell ref="A2:I2"/>
    <mergeCell ref="A5:I5"/>
    <mergeCell ref="A10:I10"/>
    <mergeCell ref="A3:K3"/>
    <mergeCell ref="F47:G47"/>
    <mergeCell ref="B47:C47"/>
    <mergeCell ref="F44:G44"/>
    <mergeCell ref="B44:C44"/>
    <mergeCell ref="F42:G42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M50"/>
  <sheetViews>
    <sheetView zoomScalePageLayoutView="0" workbookViewId="0" topLeftCell="A36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1.421875" style="35" customWidth="1"/>
    <col min="3" max="3" width="13.28125" style="35" customWidth="1"/>
    <col min="4" max="4" width="13.57421875" style="35" customWidth="1"/>
    <col min="5" max="5" width="13.140625" style="35" customWidth="1"/>
    <col min="6" max="6" width="12.8515625" style="35" customWidth="1"/>
    <col min="7" max="7" width="13.28125" style="35" customWidth="1"/>
    <col min="8" max="8" width="10.8515625" style="35" hidden="1" customWidth="1" outlineLevel="1"/>
    <col min="9" max="9" width="14.421875" style="35" hidden="1" customWidth="1" outlineLevel="1"/>
    <col min="10" max="11" width="9.140625" style="35" hidden="1" customWidth="1" outlineLevel="1"/>
    <col min="12" max="12" width="9.140625" style="35" hidden="1" customWidth="1" outlineLevel="1" collapsed="1"/>
    <col min="13" max="13" width="10.140625" style="35" bestFit="1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7.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.7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3.75" customHeight="1"/>
    <row r="7" spans="1:6" s="67" customFormat="1" ht="16.5" customHeight="1">
      <c r="A7" s="67" t="s">
        <v>2</v>
      </c>
      <c r="F7" s="128" t="s">
        <v>67</v>
      </c>
    </row>
    <row r="8" spans="1:6" s="67" customFormat="1" ht="15">
      <c r="A8" s="67" t="s">
        <v>3</v>
      </c>
      <c r="F8" s="299" t="s">
        <v>135</v>
      </c>
    </row>
    <row r="9" s="67" customFormat="1" ht="18" customHeight="1"/>
    <row r="10" spans="1:9" s="67" customFormat="1" ht="11.25" customHeight="1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3.5" customHeight="1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2.75" customHeight="1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'[1]Телевизионная 4'!$G$37</f>
        <v>16766.739999999998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'[1]Телевизионная 4'!$G$38</f>
        <v>14013.551199999998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169" customFormat="1" ht="29.25">
      <c r="A18" s="75" t="s">
        <v>14</v>
      </c>
      <c r="B18" s="41" t="s">
        <v>15</v>
      </c>
      <c r="C18" s="137">
        <f>C19+C20+C21+C22</f>
        <v>9.879999999999999</v>
      </c>
      <c r="D18" s="76">
        <v>227345.02</v>
      </c>
      <c r="E18" s="76">
        <v>242623.88</v>
      </c>
      <c r="F18" s="76">
        <f>D18</f>
        <v>227345.02</v>
      </c>
      <c r="G18" s="77">
        <f>D18-E18</f>
        <v>-15278.860000000015</v>
      </c>
      <c r="H18" s="14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79616.77825910931</v>
      </c>
      <c r="E19" s="83">
        <f>E18*I19</f>
        <v>84967.472145749</v>
      </c>
      <c r="F19" s="83">
        <f>D19</f>
        <v>79616.77825910931</v>
      </c>
      <c r="G19" s="84">
        <f>D19-E19</f>
        <v>-5350.693886639681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38887.96394736842</v>
      </c>
      <c r="E20" s="83">
        <f>E18*I20</f>
        <v>41501.453157894735</v>
      </c>
      <c r="F20" s="83">
        <f>D20</f>
        <v>38887.96394736842</v>
      </c>
      <c r="G20" s="84">
        <f>D20-E20</f>
        <v>-2613.4892105263134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38887.96394736842</v>
      </c>
      <c r="E21" s="83">
        <f>E18*I21</f>
        <v>41501.453157894735</v>
      </c>
      <c r="F21" s="83">
        <f>D21</f>
        <v>38887.96394736842</v>
      </c>
      <c r="G21" s="84">
        <f>D21-E21</f>
        <v>-2613.4892105263134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69952.31384615385</v>
      </c>
      <c r="E22" s="83">
        <f>E18*I22</f>
        <v>74653.50153846154</v>
      </c>
      <c r="F22" s="83">
        <f>D22</f>
        <v>69952.31384615385</v>
      </c>
      <c r="G22" s="84">
        <f>D22-E22</f>
        <v>-4701.1876923076925</v>
      </c>
      <c r="H22" s="147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2" t="s">
        <v>311</v>
      </c>
      <c r="C23" s="97">
        <v>0</v>
      </c>
      <c r="D23" s="77">
        <v>0</v>
      </c>
      <c r="E23" s="77">
        <v>254.27</v>
      </c>
      <c r="F23" s="76">
        <f aca="true" t="shared" si="0" ref="F23:F32">D23</f>
        <v>0</v>
      </c>
      <c r="G23" s="77">
        <f aca="true" t="shared" si="1" ref="G23:G32">D23-E23</f>
        <v>-254.27</v>
      </c>
    </row>
    <row r="24" spans="1:7" s="39" customFormat="1" ht="14.2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2" t="s">
        <v>168</v>
      </c>
      <c r="C25" s="143">
        <v>12.54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2" t="s">
        <v>119</v>
      </c>
      <c r="C26" s="97">
        <v>1.86</v>
      </c>
      <c r="D26" s="77">
        <v>42707.04</v>
      </c>
      <c r="E26" s="77">
        <v>46091.56</v>
      </c>
      <c r="F26" s="76">
        <f>F43</f>
        <v>10460.9156</v>
      </c>
      <c r="G26" s="77">
        <f t="shared" si="1"/>
        <v>-3384.519999999997</v>
      </c>
      <c r="M26" s="184"/>
    </row>
    <row r="27" spans="1:7" s="39" customFormat="1" ht="14.25">
      <c r="A27" s="41" t="s">
        <v>33</v>
      </c>
      <c r="B27" s="136" t="s">
        <v>34</v>
      </c>
      <c r="C27" s="46">
        <v>0</v>
      </c>
      <c r="D27" s="77">
        <v>0</v>
      </c>
      <c r="E27" s="77">
        <v>1881.74</v>
      </c>
      <c r="F27" s="76">
        <f>D27</f>
        <v>0</v>
      </c>
      <c r="G27" s="77">
        <f t="shared" si="1"/>
        <v>-1881.74</v>
      </c>
    </row>
    <row r="28" spans="1:7" s="39" customFormat="1" ht="14.25">
      <c r="A28" s="41" t="s">
        <v>35</v>
      </c>
      <c r="B28" s="136" t="s">
        <v>36</v>
      </c>
      <c r="C28" s="97"/>
      <c r="D28" s="77">
        <f>SUM(D29:D32)</f>
        <v>1073473.57</v>
      </c>
      <c r="E28" s="77">
        <f>SUM(E29:E32)</f>
        <v>1115866.55</v>
      </c>
      <c r="F28" s="76">
        <f t="shared" si="0"/>
        <v>1073473.57</v>
      </c>
      <c r="G28" s="77">
        <f t="shared" si="1"/>
        <v>-42392.97999999998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20047.44</v>
      </c>
      <c r="E29" s="84">
        <v>20363.43</v>
      </c>
      <c r="F29" s="83">
        <f>D29</f>
        <v>20047.44</v>
      </c>
      <c r="G29" s="84">
        <f t="shared" si="1"/>
        <v>-315.9900000000016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347541.77</v>
      </c>
      <c r="E30" s="84">
        <v>370712.33</v>
      </c>
      <c r="F30" s="83">
        <f t="shared" si="0"/>
        <v>347541.77</v>
      </c>
      <c r="G30" s="84">
        <f t="shared" si="1"/>
        <v>-23170.559999999998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93" t="s">
        <v>380</v>
      </c>
      <c r="D32" s="84">
        <v>705884.36</v>
      </c>
      <c r="E32" s="84">
        <v>724790.79</v>
      </c>
      <c r="F32" s="83">
        <f t="shared" si="0"/>
        <v>705884.36</v>
      </c>
      <c r="G32" s="84">
        <f t="shared" si="1"/>
        <v>-18906.43000000005</v>
      </c>
    </row>
    <row r="33" spans="1:10" s="102" customFormat="1" ht="17.25" customHeight="1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65">
        <v>787582.9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18648.48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49644.1956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="67" customFormat="1" ht="9" customHeight="1"/>
    <row r="40" spans="1:9" ht="23.25" customHeight="1">
      <c r="A40" s="367" t="s">
        <v>44</v>
      </c>
      <c r="B40" s="367"/>
      <c r="C40" s="367"/>
      <c r="D40" s="367"/>
      <c r="E40" s="367"/>
      <c r="F40" s="367"/>
      <c r="G40" s="367"/>
      <c r="H40" s="367"/>
      <c r="I40" s="367"/>
    </row>
    <row r="41" ht="6.75" customHeight="1"/>
    <row r="42" spans="1:7" s="173" customFormat="1" ht="28.5" customHeight="1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4"/>
    </row>
    <row r="43" spans="1:7" s="115" customFormat="1" ht="13.5" customHeight="1">
      <c r="A43" s="109" t="s">
        <v>47</v>
      </c>
      <c r="B43" s="396" t="s">
        <v>114</v>
      </c>
      <c r="C43" s="399"/>
      <c r="D43" s="111"/>
      <c r="E43" s="111"/>
      <c r="F43" s="411">
        <f>SUM(F44:G45)</f>
        <v>10460.9156</v>
      </c>
      <c r="G43" s="404"/>
    </row>
    <row r="44" spans="1:7" s="115" customFormat="1" ht="13.5" customHeight="1">
      <c r="A44" s="34" t="s">
        <v>16</v>
      </c>
      <c r="B44" s="423" t="s">
        <v>840</v>
      </c>
      <c r="C44" s="424"/>
      <c r="D44" s="197"/>
      <c r="E44" s="197"/>
      <c r="F44" s="420">
        <v>10000</v>
      </c>
      <c r="G44" s="421"/>
    </row>
    <row r="45" spans="1:7" ht="13.5" customHeight="1">
      <c r="A45" s="34" t="s">
        <v>18</v>
      </c>
      <c r="B45" s="423" t="s">
        <v>198</v>
      </c>
      <c r="C45" s="424"/>
      <c r="D45" s="126"/>
      <c r="E45" s="126"/>
      <c r="F45" s="420">
        <f>E26*1%</f>
        <v>460.9156</v>
      </c>
      <c r="G45" s="421"/>
    </row>
    <row r="46" spans="1:7" ht="15.75" customHeight="1">
      <c r="A46" s="170"/>
      <c r="B46" s="93"/>
      <c r="C46" s="93"/>
      <c r="D46" s="93"/>
      <c r="E46" s="93"/>
      <c r="F46" s="183"/>
      <c r="G46" s="183"/>
    </row>
    <row r="47" spans="1:6" s="67" customFormat="1" ht="15">
      <c r="A47" s="67" t="s">
        <v>55</v>
      </c>
      <c r="C47" s="67" t="s">
        <v>49</v>
      </c>
      <c r="F47" s="67" t="s">
        <v>93</v>
      </c>
    </row>
    <row r="48" s="67" customFormat="1" ht="13.5" customHeight="1">
      <c r="F48" s="128" t="s">
        <v>516</v>
      </c>
    </row>
    <row r="49" s="67" customFormat="1" ht="21" customHeight="1">
      <c r="A49" s="67" t="s">
        <v>50</v>
      </c>
    </row>
    <row r="50" spans="3:7" s="67" customFormat="1" ht="15">
      <c r="C50" s="130" t="s">
        <v>51</v>
      </c>
      <c r="E50" s="130"/>
      <c r="F50" s="130"/>
      <c r="G50" s="130"/>
    </row>
    <row r="51" s="67" customFormat="1" ht="15"/>
    <row r="52" s="67" customFormat="1" ht="15"/>
  </sheetData>
  <sheetProtection/>
  <mergeCells count="18">
    <mergeCell ref="B42:C42"/>
    <mergeCell ref="B43:C43"/>
    <mergeCell ref="A1:I1"/>
    <mergeCell ref="A2:I2"/>
    <mergeCell ref="A5:I5"/>
    <mergeCell ref="A10:I10"/>
    <mergeCell ref="A3:K3"/>
    <mergeCell ref="A11:I11"/>
    <mergeCell ref="B44:C44"/>
    <mergeCell ref="F44:G44"/>
    <mergeCell ref="F45:G45"/>
    <mergeCell ref="B45:C45"/>
    <mergeCell ref="A12:I12"/>
    <mergeCell ref="A34:C34"/>
    <mergeCell ref="A40:I40"/>
    <mergeCell ref="F42:G42"/>
    <mergeCell ref="F43:G43"/>
    <mergeCell ref="A33:F33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51"/>
  <sheetViews>
    <sheetView zoomScalePageLayoutView="0" workbookViewId="0" topLeftCell="A28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3.28125" style="35" customWidth="1"/>
    <col min="3" max="3" width="13.140625" style="35" customWidth="1"/>
    <col min="4" max="4" width="12.00390625" style="35" customWidth="1"/>
    <col min="5" max="5" width="12.57421875" style="35" customWidth="1"/>
    <col min="6" max="6" width="11.140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8515625" style="35" bestFit="1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4.25" customHeight="1">
      <c r="A3" s="366" t="s">
        <v>272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.7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4.2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4.5" customHeight="1"/>
    <row r="7" spans="1:6" s="67" customFormat="1" ht="16.5" customHeight="1">
      <c r="A7" s="67" t="s">
        <v>2</v>
      </c>
      <c r="F7" s="128" t="s">
        <v>68</v>
      </c>
    </row>
    <row r="8" spans="1:6" s="67" customFormat="1" ht="15">
      <c r="A8" s="67" t="s">
        <v>3</v>
      </c>
      <c r="F8" s="128" t="s">
        <v>261</v>
      </c>
    </row>
    <row r="9" s="67" customFormat="1" ht="7.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'[1]Чичерина 7а'!$G$37</f>
        <v>15586.55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'[1]Чичерина 7а'!$G$38</f>
        <v>55258.403300000005</v>
      </c>
      <c r="H15" s="62"/>
      <c r="I15" s="62"/>
    </row>
    <row r="16" s="67" customFormat="1" ht="9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169" customFormat="1" ht="28.5">
      <c r="A18" s="75" t="s">
        <v>14</v>
      </c>
      <c r="B18" s="41" t="s">
        <v>15</v>
      </c>
      <c r="C18" s="137">
        <f>C19+C20+C21+C22</f>
        <v>9.879999999999999</v>
      </c>
      <c r="D18" s="76">
        <v>164540.83</v>
      </c>
      <c r="E18" s="76">
        <v>149930.36</v>
      </c>
      <c r="F18" s="76">
        <f>D18</f>
        <v>164540.83</v>
      </c>
      <c r="G18" s="77">
        <f aca="true" t="shared" si="0" ref="G18:G26">D18-E18</f>
        <v>14610.470000000001</v>
      </c>
      <c r="H18" s="168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57622.598360323886</v>
      </c>
      <c r="E19" s="83">
        <f>E18*I19</f>
        <v>52505.97627530364</v>
      </c>
      <c r="F19" s="83">
        <f>D19</f>
        <v>57622.598360323886</v>
      </c>
      <c r="G19" s="84">
        <f t="shared" si="0"/>
        <v>5116.622085020244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28145.14197368421</v>
      </c>
      <c r="E20" s="83">
        <f>E18*I20</f>
        <v>25645.982631578947</v>
      </c>
      <c r="F20" s="83">
        <f>D20</f>
        <v>28145.14197368421</v>
      </c>
      <c r="G20" s="84">
        <f t="shared" si="0"/>
        <v>2499.159342105264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28145.14197368421</v>
      </c>
      <c r="E21" s="83">
        <f>E18*I21</f>
        <v>25645.982631578947</v>
      </c>
      <c r="F21" s="83">
        <f>D21</f>
        <v>28145.14197368421</v>
      </c>
      <c r="G21" s="84">
        <f t="shared" si="0"/>
        <v>2499.159342105264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50627.947692307695</v>
      </c>
      <c r="E22" s="83">
        <f>E18*I22</f>
        <v>46132.41846153846</v>
      </c>
      <c r="F22" s="83">
        <f>D22</f>
        <v>50627.947692307695</v>
      </c>
      <c r="G22" s="84">
        <f t="shared" si="0"/>
        <v>4495.529230769236</v>
      </c>
      <c r="H22" s="147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2" t="s">
        <v>26</v>
      </c>
      <c r="C23" s="97">
        <v>0</v>
      </c>
      <c r="D23" s="77">
        <v>0</v>
      </c>
      <c r="E23" s="77">
        <v>0</v>
      </c>
      <c r="F23" s="76">
        <f aca="true" t="shared" si="1" ref="F23:F32">D23</f>
        <v>0</v>
      </c>
      <c r="G23" s="77">
        <f t="shared" si="0"/>
        <v>0</v>
      </c>
    </row>
    <row r="24" spans="1:7" s="39" customFormat="1" ht="14.2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0"/>
        <v>0</v>
      </c>
    </row>
    <row r="25" spans="1:7" s="39" customFormat="1" ht="14.25">
      <c r="A25" s="41" t="s">
        <v>29</v>
      </c>
      <c r="B25" s="142" t="s">
        <v>168</v>
      </c>
      <c r="C25" s="143" t="s">
        <v>394</v>
      </c>
      <c r="D25" s="77">
        <v>0</v>
      </c>
      <c r="E25" s="77">
        <v>0</v>
      </c>
      <c r="F25" s="76">
        <f t="shared" si="1"/>
        <v>0</v>
      </c>
      <c r="G25" s="77">
        <f t="shared" si="0"/>
        <v>0</v>
      </c>
    </row>
    <row r="26" spans="1:7" s="39" customFormat="1" ht="14.25">
      <c r="A26" s="41" t="s">
        <v>31</v>
      </c>
      <c r="B26" s="142" t="s">
        <v>119</v>
      </c>
      <c r="C26" s="97">
        <v>1.86</v>
      </c>
      <c r="D26" s="77">
        <v>28319.83</v>
      </c>
      <c r="E26" s="77">
        <v>28256.97</v>
      </c>
      <c r="F26" s="76">
        <f>F42</f>
        <v>282.5697</v>
      </c>
      <c r="G26" s="77">
        <f t="shared" si="0"/>
        <v>62.86000000000058</v>
      </c>
    </row>
    <row r="27" spans="1:7" s="39" customFormat="1" ht="14.25">
      <c r="A27" s="41" t="s">
        <v>33</v>
      </c>
      <c r="B27" s="136" t="s">
        <v>34</v>
      </c>
      <c r="C27" s="46">
        <v>0</v>
      </c>
      <c r="D27" s="77">
        <v>0</v>
      </c>
      <c r="E27" s="77">
        <v>1.63</v>
      </c>
      <c r="F27" s="76">
        <f>D27</f>
        <v>0</v>
      </c>
      <c r="G27" s="77">
        <f>E27-D27</f>
        <v>1.63</v>
      </c>
    </row>
    <row r="28" spans="1:7" s="39" customFormat="1" ht="14.25">
      <c r="A28" s="41" t="s">
        <v>35</v>
      </c>
      <c r="B28" s="136" t="s">
        <v>36</v>
      </c>
      <c r="C28" s="97"/>
      <c r="D28" s="77">
        <f>SUM(D29:D32)</f>
        <v>681011.01</v>
      </c>
      <c r="E28" s="77">
        <f>SUM(E29:E32)</f>
        <v>681562.73</v>
      </c>
      <c r="F28" s="76">
        <f t="shared" si="1"/>
        <v>681011.01</v>
      </c>
      <c r="G28" s="77">
        <f>SUM(G29:G32)</f>
        <v>-551.7200000000166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6894.87</v>
      </c>
      <c r="E29" s="84">
        <v>6877.01</v>
      </c>
      <c r="F29" s="83">
        <f>D29</f>
        <v>6894.87</v>
      </c>
      <c r="G29" s="84">
        <f>D29-E29</f>
        <v>17.859999999999673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150451.02</v>
      </c>
      <c r="E30" s="84">
        <v>151744.42</v>
      </c>
      <c r="F30" s="83">
        <f t="shared" si="1"/>
        <v>150451.02</v>
      </c>
      <c r="G30" s="84">
        <f>D30-E30</f>
        <v>-1293.4000000000233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3">
        <f t="shared" si="1"/>
        <v>0</v>
      </c>
      <c r="G31" s="84">
        <f>D31-E31</f>
        <v>0</v>
      </c>
    </row>
    <row r="32" spans="1:7" ht="15">
      <c r="A32" s="34" t="s">
        <v>41</v>
      </c>
      <c r="B32" s="34" t="s">
        <v>43</v>
      </c>
      <c r="C32" s="293" t="s">
        <v>380</v>
      </c>
      <c r="D32" s="84">
        <v>523665.12</v>
      </c>
      <c r="E32" s="84">
        <v>522941.3</v>
      </c>
      <c r="F32" s="83">
        <f t="shared" si="1"/>
        <v>523665.12</v>
      </c>
      <c r="G32" s="84">
        <f>D32-E32</f>
        <v>723.820000000007</v>
      </c>
    </row>
    <row r="33" spans="1:10" s="102" customFormat="1" ht="18" customHeight="1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146">
        <v>147842.51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15588.179999999998</v>
      </c>
      <c r="H36" s="62"/>
      <c r="I36" s="62"/>
    </row>
    <row r="37" spans="1:13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83232.80360000001</v>
      </c>
      <c r="H37" s="62"/>
      <c r="I37" s="62"/>
      <c r="M37" s="147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6.25" customHeight="1">
      <c r="A39" s="367" t="s">
        <v>44</v>
      </c>
      <c r="B39" s="367"/>
      <c r="C39" s="367"/>
      <c r="D39" s="367"/>
      <c r="E39" s="367"/>
      <c r="F39" s="367"/>
      <c r="G39" s="367"/>
      <c r="H39" s="367"/>
      <c r="I39" s="367"/>
    </row>
    <row r="40" ht="6" customHeight="1"/>
    <row r="41" spans="1:7" s="173" customFormat="1" ht="28.5" customHeight="1">
      <c r="A41" s="105" t="s">
        <v>11</v>
      </c>
      <c r="B41" s="394" t="s">
        <v>45</v>
      </c>
      <c r="C41" s="405"/>
      <c r="D41" s="105" t="s">
        <v>170</v>
      </c>
      <c r="E41" s="105" t="s">
        <v>169</v>
      </c>
      <c r="F41" s="394" t="s">
        <v>46</v>
      </c>
      <c r="G41" s="404"/>
    </row>
    <row r="42" spans="1:7" s="115" customFormat="1" ht="12.75" customHeight="1">
      <c r="A42" s="109" t="s">
        <v>47</v>
      </c>
      <c r="B42" s="396" t="s">
        <v>114</v>
      </c>
      <c r="C42" s="399"/>
      <c r="D42" s="111"/>
      <c r="E42" s="111"/>
      <c r="F42" s="411">
        <f>SUM(F43:L44)</f>
        <v>282.5697</v>
      </c>
      <c r="G42" s="404"/>
    </row>
    <row r="43" spans="1:7" s="115" customFormat="1" ht="12.75" customHeight="1">
      <c r="A43" s="34" t="s">
        <v>16</v>
      </c>
      <c r="B43" s="198"/>
      <c r="C43" s="110"/>
      <c r="D43" s="197"/>
      <c r="E43" s="197"/>
      <c r="F43" s="410"/>
      <c r="G43" s="410"/>
    </row>
    <row r="44" spans="1:7" ht="12.75" customHeight="1">
      <c r="A44" s="34" t="s">
        <v>18</v>
      </c>
      <c r="B44" s="369" t="s">
        <v>198</v>
      </c>
      <c r="C44" s="371"/>
      <c r="D44" s="119"/>
      <c r="E44" s="119"/>
      <c r="F44" s="410">
        <f>E26*1%</f>
        <v>282.5697</v>
      </c>
      <c r="G44" s="410"/>
    </row>
    <row r="45" spans="1:7" s="67" customFormat="1" ht="13.5" customHeight="1">
      <c r="A45" s="170"/>
      <c r="B45" s="182"/>
      <c r="C45" s="182"/>
      <c r="D45" s="182"/>
      <c r="E45" s="182"/>
      <c r="F45" s="183"/>
      <c r="G45" s="183"/>
    </row>
    <row r="46" spans="1:6" s="67" customFormat="1" ht="15">
      <c r="A46" s="67" t="s">
        <v>55</v>
      </c>
      <c r="C46" s="67" t="s">
        <v>49</v>
      </c>
      <c r="F46" s="67" t="s">
        <v>93</v>
      </c>
    </row>
    <row r="47" s="67" customFormat="1" ht="15">
      <c r="F47" s="128" t="s">
        <v>516</v>
      </c>
    </row>
    <row r="48" s="67" customFormat="1" ht="15">
      <c r="A48" s="67" t="s">
        <v>50</v>
      </c>
    </row>
    <row r="49" spans="1:7" ht="15">
      <c r="A49" s="67"/>
      <c r="B49" s="67"/>
      <c r="C49" s="130" t="s">
        <v>51</v>
      </c>
      <c r="D49" s="67"/>
      <c r="E49" s="130"/>
      <c r="F49" s="130"/>
      <c r="G49" s="130"/>
    </row>
    <row r="50" spans="1:7" ht="15">
      <c r="A50" s="67"/>
      <c r="B50" s="67"/>
      <c r="C50" s="67"/>
      <c r="D50" s="67"/>
      <c r="E50" s="67"/>
      <c r="F50" s="67"/>
      <c r="G50" s="67"/>
    </row>
    <row r="51" spans="1:7" ht="15">
      <c r="A51" s="67"/>
      <c r="B51" s="67"/>
      <c r="C51" s="67"/>
      <c r="D51" s="67"/>
      <c r="E51" s="67"/>
      <c r="F51" s="67"/>
      <c r="G51" s="67"/>
    </row>
  </sheetData>
  <sheetProtection/>
  <mergeCells count="17">
    <mergeCell ref="F44:G44"/>
    <mergeCell ref="B44:C44"/>
    <mergeCell ref="A1:I1"/>
    <mergeCell ref="A2:I2"/>
    <mergeCell ref="A5:I5"/>
    <mergeCell ref="A10:I10"/>
    <mergeCell ref="A3:K3"/>
    <mergeCell ref="F43:G43"/>
    <mergeCell ref="F42:G42"/>
    <mergeCell ref="B41:C41"/>
    <mergeCell ref="B42:C42"/>
    <mergeCell ref="A11:I11"/>
    <mergeCell ref="A12:I12"/>
    <mergeCell ref="A39:I39"/>
    <mergeCell ref="A34:C34"/>
    <mergeCell ref="F41:G41"/>
    <mergeCell ref="A33:F3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K54"/>
  <sheetViews>
    <sheetView zoomScalePageLayoutView="0" workbookViewId="0" topLeftCell="A28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0.28125" style="35" customWidth="1"/>
    <col min="3" max="3" width="13.00390625" style="35" customWidth="1"/>
    <col min="4" max="4" width="13.421875" style="35" customWidth="1"/>
    <col min="5" max="5" width="12.7109375" style="35" customWidth="1"/>
    <col min="6" max="6" width="12.42187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2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.7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2.7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7.5" customHeight="1"/>
    <row r="7" spans="1:6" s="67" customFormat="1" ht="16.5" customHeight="1">
      <c r="A7" s="67" t="s">
        <v>2</v>
      </c>
      <c r="F7" s="128" t="s">
        <v>69</v>
      </c>
    </row>
    <row r="8" spans="1:10" s="67" customFormat="1" ht="15">
      <c r="A8" s="67" t="s">
        <v>3</v>
      </c>
      <c r="F8" s="299" t="s">
        <v>493</v>
      </c>
      <c r="I8" s="204">
        <v>42.3</v>
      </c>
      <c r="J8" s="204">
        <v>1698.3</v>
      </c>
    </row>
    <row r="9" s="67" customFormat="1" ht="9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'[1]Чичерина 8'!$G$37</f>
        <v>-64908.700000000004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'[1]Чичерина 8'!$G$38</f>
        <v>53345.65379999999</v>
      </c>
      <c r="H15" s="62"/>
      <c r="I15" s="62"/>
    </row>
    <row r="16" s="67" customFormat="1" ht="9.7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169" customFormat="1" ht="29.25">
      <c r="A18" s="75" t="s">
        <v>14</v>
      </c>
      <c r="B18" s="41" t="s">
        <v>15</v>
      </c>
      <c r="C18" s="137">
        <f>C19+C20+C21+C22</f>
        <v>9.879999999999999</v>
      </c>
      <c r="D18" s="76">
        <v>207615.03</v>
      </c>
      <c r="E18" s="76">
        <v>195803.44</v>
      </c>
      <c r="F18" s="76">
        <f>D18</f>
        <v>207615.03</v>
      </c>
      <c r="G18" s="77">
        <f>D18-E18</f>
        <v>11811.589999999997</v>
      </c>
      <c r="H18" s="14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72707.28783400811</v>
      </c>
      <c r="E19" s="83">
        <f>E18*I19</f>
        <v>68570.84032388664</v>
      </c>
      <c r="F19" s="83">
        <f>D19</f>
        <v>72707.28783400811</v>
      </c>
      <c r="G19" s="84">
        <f>D19-E19</f>
        <v>4136.447510121463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35513.097236842106</v>
      </c>
      <c r="E20" s="83">
        <f>E18*I20</f>
        <v>33492.69368421053</v>
      </c>
      <c r="F20" s="83">
        <f>D20</f>
        <v>35513.097236842106</v>
      </c>
      <c r="G20" s="84">
        <f>D20-E20</f>
        <v>2020.4035526315783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35513.097236842106</v>
      </c>
      <c r="E21" s="83">
        <f>E18*I21</f>
        <v>33492.69368421053</v>
      </c>
      <c r="F21" s="83">
        <f>D21</f>
        <v>35513.097236842106</v>
      </c>
      <c r="G21" s="84">
        <f>D21-E21</f>
        <v>2020.4035526315783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63881.54769230769</v>
      </c>
      <c r="E22" s="83">
        <f>E18*I22</f>
        <v>60247.21230769231</v>
      </c>
      <c r="F22" s="83">
        <f>D22</f>
        <v>63881.54769230769</v>
      </c>
      <c r="G22" s="84">
        <f>D22-E22</f>
        <v>3634.335384615384</v>
      </c>
      <c r="H22" s="147">
        <f>C22</f>
        <v>3.04</v>
      </c>
      <c r="I22" s="67">
        <f>H22/H18</f>
        <v>0.3076923076923077</v>
      </c>
    </row>
    <row r="23" spans="1:7" s="39" customFormat="1" ht="25.5">
      <c r="A23" s="41" t="s">
        <v>25</v>
      </c>
      <c r="B23" s="142" t="s">
        <v>396</v>
      </c>
      <c r="C23" s="97" t="s">
        <v>397</v>
      </c>
      <c r="D23" s="77">
        <v>8800</v>
      </c>
      <c r="E23" s="77">
        <v>8261.45</v>
      </c>
      <c r="F23" s="76">
        <f aca="true" t="shared" si="0" ref="F23:F32">D23</f>
        <v>8800</v>
      </c>
      <c r="G23" s="77">
        <f aca="true" t="shared" si="1" ref="G23:G32">D23-E23</f>
        <v>538.5499999999993</v>
      </c>
    </row>
    <row r="24" spans="1:7" s="39" customFormat="1" ht="14.2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2" t="s">
        <v>168</v>
      </c>
      <c r="C25" s="143">
        <v>1902.11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7" s="39" customFormat="1" ht="14.25">
      <c r="A26" s="41" t="s">
        <v>31</v>
      </c>
      <c r="B26" s="142" t="s">
        <v>119</v>
      </c>
      <c r="C26" s="97">
        <v>1.86</v>
      </c>
      <c r="D26" s="77">
        <v>36676.1</v>
      </c>
      <c r="E26" s="77">
        <v>36895.14</v>
      </c>
      <c r="F26" s="76">
        <f>F44</f>
        <v>40724.181399999994</v>
      </c>
      <c r="G26" s="77">
        <f t="shared" si="1"/>
        <v>-219.04000000000087</v>
      </c>
    </row>
    <row r="27" spans="1:7" s="39" customFormat="1" ht="14.25">
      <c r="A27" s="41" t="s">
        <v>33</v>
      </c>
      <c r="B27" s="136" t="s">
        <v>34</v>
      </c>
      <c r="C27" s="46">
        <v>0</v>
      </c>
      <c r="D27" s="77">
        <v>0</v>
      </c>
      <c r="E27" s="77"/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6" t="s">
        <v>36</v>
      </c>
      <c r="C28" s="97"/>
      <c r="D28" s="77">
        <f>SUM(D29:D32)</f>
        <v>730068.6699999999</v>
      </c>
      <c r="E28" s="77">
        <f>SUM(E29:E32)</f>
        <v>708288.53</v>
      </c>
      <c r="F28" s="76">
        <f t="shared" si="0"/>
        <v>730068.6699999999</v>
      </c>
      <c r="G28" s="77">
        <f t="shared" si="1"/>
        <v>21780.139999999898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19320.98</v>
      </c>
      <c r="E29" s="84">
        <v>18650.31</v>
      </c>
      <c r="F29" s="83">
        <f>D29</f>
        <v>19320.98</v>
      </c>
      <c r="G29" s="84">
        <f t="shared" si="1"/>
        <v>670.6699999999983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195000.15</v>
      </c>
      <c r="E30" s="84">
        <v>181191.69</v>
      </c>
      <c r="F30" s="83">
        <f t="shared" si="0"/>
        <v>195000.15</v>
      </c>
      <c r="G30" s="84">
        <f t="shared" si="1"/>
        <v>13808.459999999992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93" t="s">
        <v>380</v>
      </c>
      <c r="D32" s="84">
        <v>515747.54</v>
      </c>
      <c r="E32" s="84">
        <v>508446.53</v>
      </c>
      <c r="F32" s="83">
        <f t="shared" si="0"/>
        <v>515747.54</v>
      </c>
      <c r="G32" s="84">
        <f t="shared" si="1"/>
        <v>7301.009999999951</v>
      </c>
    </row>
    <row r="33" spans="1:10" s="102" customFormat="1" ht="28.5" customHeight="1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65">
        <v>295373.06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-64908.700000000004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49516.61239999999</v>
      </c>
      <c r="H37" s="62"/>
      <c r="I37" s="62"/>
    </row>
    <row r="38" spans="1:9" s="67" customFormat="1" ht="15">
      <c r="A38" s="427" t="s">
        <v>492</v>
      </c>
      <c r="B38" s="428"/>
      <c r="C38" s="104"/>
      <c r="D38" s="104"/>
      <c r="E38" s="101"/>
      <c r="F38" s="101"/>
      <c r="G38" s="101"/>
      <c r="H38" s="62"/>
      <c r="I38" s="62"/>
    </row>
    <row r="39" spans="1:9" s="67" customFormat="1" ht="15">
      <c r="A39" s="429" t="s">
        <v>150</v>
      </c>
      <c r="B39" s="430"/>
      <c r="C39" s="322" t="s">
        <v>151</v>
      </c>
      <c r="D39" s="322" t="s">
        <v>152</v>
      </c>
      <c r="E39" s="323" t="s">
        <v>153</v>
      </c>
      <c r="F39" s="324" t="s">
        <v>154</v>
      </c>
      <c r="G39" s="323" t="s">
        <v>155</v>
      </c>
      <c r="H39" s="62"/>
      <c r="I39" s="62"/>
    </row>
    <row r="40" spans="1:9" s="67" customFormat="1" ht="15">
      <c r="A40" s="431"/>
      <c r="B40" s="432"/>
      <c r="C40" s="302">
        <v>42.3</v>
      </c>
      <c r="D40" s="325">
        <f>E40/C40/12</f>
        <v>11.603309692671395</v>
      </c>
      <c r="E40" s="327">
        <v>5889.84</v>
      </c>
      <c r="F40" s="327">
        <v>2962.26</v>
      </c>
      <c r="G40" s="325">
        <f>E40-F40</f>
        <v>2927.58</v>
      </c>
      <c r="H40" s="62"/>
      <c r="I40" s="329">
        <v>42.3</v>
      </c>
    </row>
    <row r="41" spans="1:9" ht="25.5" customHeight="1">
      <c r="A41" s="367" t="s">
        <v>44</v>
      </c>
      <c r="B41" s="367"/>
      <c r="C41" s="367"/>
      <c r="D41" s="367"/>
      <c r="E41" s="367"/>
      <c r="F41" s="367"/>
      <c r="G41" s="367"/>
      <c r="H41" s="367"/>
      <c r="I41" s="367"/>
    </row>
    <row r="42" ht="5.25" customHeight="1"/>
    <row r="43" spans="1:7" s="173" customFormat="1" ht="28.5" customHeight="1">
      <c r="A43" s="105" t="s">
        <v>11</v>
      </c>
      <c r="B43" s="394" t="s">
        <v>45</v>
      </c>
      <c r="C43" s="405"/>
      <c r="D43" s="105" t="s">
        <v>170</v>
      </c>
      <c r="E43" s="105" t="s">
        <v>169</v>
      </c>
      <c r="F43" s="394" t="s">
        <v>46</v>
      </c>
      <c r="G43" s="404"/>
    </row>
    <row r="44" spans="1:7" s="115" customFormat="1" ht="12" customHeight="1">
      <c r="A44" s="109" t="s">
        <v>47</v>
      </c>
      <c r="B44" s="396" t="s">
        <v>114</v>
      </c>
      <c r="C44" s="399"/>
      <c r="D44" s="111"/>
      <c r="E44" s="111"/>
      <c r="F44" s="411">
        <f>SUM(F45:G49)</f>
        <v>40724.181399999994</v>
      </c>
      <c r="G44" s="404"/>
    </row>
    <row r="45" spans="1:7" s="115" customFormat="1" ht="12" customHeight="1">
      <c r="A45" s="34" t="s">
        <v>16</v>
      </c>
      <c r="B45" s="369" t="s">
        <v>737</v>
      </c>
      <c r="C45" s="371"/>
      <c r="D45" s="197" t="s">
        <v>265</v>
      </c>
      <c r="E45" s="197">
        <v>0.025</v>
      </c>
      <c r="F45" s="425">
        <v>2857.23</v>
      </c>
      <c r="G45" s="426"/>
    </row>
    <row r="46" spans="1:7" s="115" customFormat="1" ht="12" customHeight="1">
      <c r="A46" s="34" t="s">
        <v>18</v>
      </c>
      <c r="B46" s="369" t="s">
        <v>797</v>
      </c>
      <c r="C46" s="371"/>
      <c r="D46" s="197"/>
      <c r="E46" s="197"/>
      <c r="F46" s="425">
        <v>4980</v>
      </c>
      <c r="G46" s="426"/>
    </row>
    <row r="47" spans="1:7" s="115" customFormat="1" ht="12" customHeight="1">
      <c r="A47" s="34" t="s">
        <v>20</v>
      </c>
      <c r="B47" s="369" t="s">
        <v>175</v>
      </c>
      <c r="C47" s="371"/>
      <c r="D47" s="197"/>
      <c r="E47" s="197"/>
      <c r="F47" s="425">
        <v>32518</v>
      </c>
      <c r="G47" s="426"/>
    </row>
    <row r="48" spans="1:7" s="115" customFormat="1" ht="12" customHeight="1">
      <c r="A48" s="34" t="s">
        <v>22</v>
      </c>
      <c r="B48" s="369"/>
      <c r="C48" s="371"/>
      <c r="D48" s="197"/>
      <c r="E48" s="197"/>
      <c r="F48" s="425"/>
      <c r="G48" s="426"/>
    </row>
    <row r="49" spans="1:7" ht="14.25" customHeight="1">
      <c r="A49" s="34" t="s">
        <v>24</v>
      </c>
      <c r="B49" s="369" t="s">
        <v>198</v>
      </c>
      <c r="C49" s="371"/>
      <c r="D49" s="119"/>
      <c r="E49" s="119"/>
      <c r="F49" s="425">
        <f>E26*1%</f>
        <v>368.9514</v>
      </c>
      <c r="G49" s="426"/>
    </row>
    <row r="50" spans="2:5" ht="15">
      <c r="B50" s="156"/>
      <c r="C50" s="156"/>
      <c r="D50" s="156"/>
      <c r="E50" s="156"/>
    </row>
    <row r="51" spans="1:6" s="67" customFormat="1" ht="15">
      <c r="A51" s="67" t="s">
        <v>55</v>
      </c>
      <c r="C51" s="67" t="s">
        <v>49</v>
      </c>
      <c r="F51" s="67" t="s">
        <v>93</v>
      </c>
    </row>
    <row r="52" s="67" customFormat="1" ht="13.5" customHeight="1">
      <c r="F52" s="128" t="s">
        <v>516</v>
      </c>
    </row>
    <row r="53" s="67" customFormat="1" ht="15">
      <c r="A53" s="67" t="s">
        <v>50</v>
      </c>
    </row>
    <row r="54" spans="3:7" s="67" customFormat="1" ht="15">
      <c r="C54" s="130" t="s">
        <v>51</v>
      </c>
      <c r="E54" s="130"/>
      <c r="F54" s="130"/>
      <c r="G54" s="130"/>
    </row>
    <row r="55" s="67" customFormat="1" ht="15"/>
    <row r="56" s="67" customFormat="1" ht="15"/>
  </sheetData>
  <sheetProtection/>
  <mergeCells count="26">
    <mergeCell ref="A38:B38"/>
    <mergeCell ref="A41:I41"/>
    <mergeCell ref="A12:I12"/>
    <mergeCell ref="F44:G44"/>
    <mergeCell ref="F49:G49"/>
    <mergeCell ref="B49:C49"/>
    <mergeCell ref="B43:C43"/>
    <mergeCell ref="B44:C44"/>
    <mergeCell ref="A33:F33"/>
    <mergeCell ref="A39:B40"/>
    <mergeCell ref="F45:G45"/>
    <mergeCell ref="F43:G43"/>
    <mergeCell ref="A34:C34"/>
    <mergeCell ref="B45:C45"/>
    <mergeCell ref="A1:I1"/>
    <mergeCell ref="A2:I2"/>
    <mergeCell ref="A5:I5"/>
    <mergeCell ref="A10:I10"/>
    <mergeCell ref="A3:K3"/>
    <mergeCell ref="A11:I11"/>
    <mergeCell ref="F46:G46"/>
    <mergeCell ref="F47:G47"/>
    <mergeCell ref="F48:G48"/>
    <mergeCell ref="B46:C46"/>
    <mergeCell ref="B47:C47"/>
    <mergeCell ref="B48:C48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1"/>
  <sheetViews>
    <sheetView zoomScalePageLayoutView="0" workbookViewId="0" topLeftCell="A29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0.57421875" style="35" customWidth="1"/>
    <col min="3" max="3" width="13.28125" style="35" customWidth="1"/>
    <col min="4" max="5" width="13.140625" style="35" bestFit="1" customWidth="1"/>
    <col min="6" max="6" width="14.00390625" style="35" customWidth="1"/>
    <col min="7" max="7" width="13.57421875" style="35" customWidth="1"/>
    <col min="8" max="8" width="10.8515625" style="35" hidden="1" customWidth="1" outlineLevel="1"/>
    <col min="9" max="9" width="13.28125" style="35" hidden="1" customWidth="1" outlineLevel="1"/>
    <col min="10" max="12" width="9.140625" style="35" hidden="1" customWidth="1" outlineLevel="1"/>
    <col min="13" max="13" width="10.140625" style="35" bestFit="1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7.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6" customHeight="1"/>
    <row r="7" spans="1:6" s="67" customFormat="1" ht="16.5" customHeight="1">
      <c r="A7" s="67" t="s">
        <v>2</v>
      </c>
      <c r="F7" s="128" t="s">
        <v>128</v>
      </c>
    </row>
    <row r="8" spans="1:6" s="67" customFormat="1" ht="15">
      <c r="A8" s="67" t="s">
        <v>3</v>
      </c>
      <c r="F8" s="299" t="s">
        <v>398</v>
      </c>
    </row>
    <row r="9" s="67" customFormat="1" ht="6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'[1]Чичерина 16 к. 1'!$G$37</f>
        <v>-5989.219999999999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'[1]Чичерина 16 к. 1'!$G$38</f>
        <v>-380427.0261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169" customFormat="1" ht="28.5">
      <c r="A18" s="75" t="s">
        <v>14</v>
      </c>
      <c r="B18" s="41" t="s">
        <v>15</v>
      </c>
      <c r="C18" s="137">
        <f>C19+C20+C21+C22</f>
        <v>9.879999999999999</v>
      </c>
      <c r="D18" s="76">
        <v>414035.02</v>
      </c>
      <c r="E18" s="76">
        <v>391912.49</v>
      </c>
      <c r="F18" s="76">
        <f>D18</f>
        <v>414035.02</v>
      </c>
      <c r="G18" s="77">
        <f>D18-E18</f>
        <v>22122.530000000028</v>
      </c>
      <c r="H18" s="168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144996.06975708503</v>
      </c>
      <c r="E19" s="83">
        <f>E18*I19</f>
        <v>137248.70601214576</v>
      </c>
      <c r="F19" s="83">
        <f>D19</f>
        <v>144996.06975708503</v>
      </c>
      <c r="G19" s="84">
        <f>D19-E19</f>
        <v>7747.36374493927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70821.77973684212</v>
      </c>
      <c r="E20" s="83">
        <f>E18*I20</f>
        <v>67037.66276315789</v>
      </c>
      <c r="F20" s="83">
        <f>D20</f>
        <v>70821.77973684212</v>
      </c>
      <c r="G20" s="84">
        <f>D20-E20</f>
        <v>3784.1169736842276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70821.77973684212</v>
      </c>
      <c r="E21" s="83">
        <f>E18*I21</f>
        <v>67037.66276315789</v>
      </c>
      <c r="F21" s="83">
        <f>D21</f>
        <v>70821.77973684212</v>
      </c>
      <c r="G21" s="84">
        <f>D21-E21</f>
        <v>3784.1169736842276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127395.39076923078</v>
      </c>
      <c r="E22" s="83">
        <f>E18*I22</f>
        <v>120588.45846153847</v>
      </c>
      <c r="F22" s="83">
        <f>D22</f>
        <v>127395.39076923078</v>
      </c>
      <c r="G22" s="84">
        <f>D22-E22</f>
        <v>6806.932307692317</v>
      </c>
      <c r="H22" s="147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2" t="s">
        <v>26</v>
      </c>
      <c r="C23" s="97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4.2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2" t="s">
        <v>168</v>
      </c>
      <c r="C25" s="143" t="s">
        <v>394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2" t="s">
        <v>119</v>
      </c>
      <c r="C26" s="97">
        <v>1.86</v>
      </c>
      <c r="D26" s="77">
        <v>75339.11</v>
      </c>
      <c r="E26" s="77">
        <v>73858.91</v>
      </c>
      <c r="F26" s="76">
        <f>F42</f>
        <v>13257.299099999998</v>
      </c>
      <c r="G26" s="77">
        <f t="shared" si="1"/>
        <v>1480.199999999997</v>
      </c>
      <c r="M26" s="184"/>
    </row>
    <row r="27" spans="1:7" s="39" customFormat="1" ht="14.25">
      <c r="A27" s="41" t="s">
        <v>33</v>
      </c>
      <c r="B27" s="136" t="s">
        <v>34</v>
      </c>
      <c r="C27" s="46">
        <v>0</v>
      </c>
      <c r="D27" s="77">
        <v>0</v>
      </c>
      <c r="E27" s="77">
        <v>0</v>
      </c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6" t="s">
        <v>36</v>
      </c>
      <c r="C28" s="97"/>
      <c r="D28" s="77">
        <f>SUM(D29:D32)</f>
        <v>1632308</v>
      </c>
      <c r="E28" s="77">
        <f>SUM(E29:E32)</f>
        <v>1618743.96</v>
      </c>
      <c r="F28" s="76">
        <f t="shared" si="0"/>
        <v>1632308</v>
      </c>
      <c r="G28" s="77">
        <f t="shared" si="1"/>
        <v>13564.040000000037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30278.38</v>
      </c>
      <c r="E29" s="84">
        <v>29659.16</v>
      </c>
      <c r="F29" s="83">
        <f>D29</f>
        <v>30278.38</v>
      </c>
      <c r="G29" s="84">
        <f t="shared" si="1"/>
        <v>619.2200000000012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472763.72</v>
      </c>
      <c r="E30" s="84">
        <v>496125.92</v>
      </c>
      <c r="F30" s="83">
        <f t="shared" si="0"/>
        <v>472763.72</v>
      </c>
      <c r="G30" s="84">
        <f t="shared" si="1"/>
        <v>-23362.20000000001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93" t="s">
        <v>380</v>
      </c>
      <c r="D32" s="84">
        <v>1129265.9</v>
      </c>
      <c r="E32" s="84">
        <v>1092958.88</v>
      </c>
      <c r="F32" s="83">
        <f t="shared" si="0"/>
        <v>1129265.9</v>
      </c>
      <c r="G32" s="84">
        <f t="shared" si="1"/>
        <v>36307.02000000002</v>
      </c>
    </row>
    <row r="33" spans="1:10" s="102" customFormat="1" ht="18.75" customHeight="1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65">
        <v>840791.23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-5989.219999999999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-319825.4152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8.5" customHeight="1">
      <c r="A39" s="433" t="s">
        <v>44</v>
      </c>
      <c r="B39" s="433"/>
      <c r="C39" s="433"/>
      <c r="D39" s="433"/>
      <c r="E39" s="433"/>
      <c r="F39" s="433"/>
      <c r="G39" s="433"/>
      <c r="H39" s="433"/>
      <c r="I39" s="433"/>
    </row>
    <row r="40" ht="5.25" customHeight="1"/>
    <row r="41" spans="1:7" s="173" customFormat="1" ht="28.5" customHeight="1">
      <c r="A41" s="105" t="s">
        <v>11</v>
      </c>
      <c r="B41" s="394" t="s">
        <v>45</v>
      </c>
      <c r="C41" s="405"/>
      <c r="D41" s="105" t="s">
        <v>170</v>
      </c>
      <c r="E41" s="105" t="s">
        <v>169</v>
      </c>
      <c r="F41" s="394" t="s">
        <v>46</v>
      </c>
      <c r="G41" s="405"/>
    </row>
    <row r="42" spans="1:7" s="115" customFormat="1" ht="12.75" customHeight="1">
      <c r="A42" s="109" t="s">
        <v>47</v>
      </c>
      <c r="B42" s="396" t="s">
        <v>114</v>
      </c>
      <c r="C42" s="399"/>
      <c r="D42" s="111"/>
      <c r="E42" s="111"/>
      <c r="F42" s="411">
        <f>SUM(F43:G45)</f>
        <v>13257.299099999998</v>
      </c>
      <c r="G42" s="404"/>
    </row>
    <row r="43" spans="1:7" ht="12.75" customHeight="1">
      <c r="A43" s="34" t="s">
        <v>16</v>
      </c>
      <c r="B43" s="369" t="s">
        <v>531</v>
      </c>
      <c r="C43" s="371"/>
      <c r="D43" s="119" t="s">
        <v>239</v>
      </c>
      <c r="E43" s="199">
        <v>0.08</v>
      </c>
      <c r="F43" s="420">
        <v>12518.71</v>
      </c>
      <c r="G43" s="421"/>
    </row>
    <row r="44" spans="1:7" ht="12.75" customHeight="1">
      <c r="A44" s="34" t="s">
        <v>18</v>
      </c>
      <c r="B44" s="369"/>
      <c r="C44" s="371"/>
      <c r="D44" s="119"/>
      <c r="E44" s="122"/>
      <c r="F44" s="410"/>
      <c r="G44" s="410"/>
    </row>
    <row r="45" spans="1:7" ht="13.5" customHeight="1">
      <c r="A45" s="34" t="s">
        <v>20</v>
      </c>
      <c r="B45" s="408" t="s">
        <v>198</v>
      </c>
      <c r="C45" s="409"/>
      <c r="D45" s="126"/>
      <c r="E45" s="126"/>
      <c r="F45" s="420">
        <f>E26*1%</f>
        <v>738.5891</v>
      </c>
      <c r="G45" s="421"/>
    </row>
    <row r="46" spans="1:7" ht="13.5" customHeight="1">
      <c r="A46" s="170"/>
      <c r="B46" s="93"/>
      <c r="C46" s="93"/>
      <c r="D46" s="93"/>
      <c r="E46" s="93"/>
      <c r="F46" s="183"/>
      <c r="G46" s="183"/>
    </row>
    <row r="47" s="67" customFormat="1" ht="15"/>
    <row r="48" spans="1:6" s="67" customFormat="1" ht="15" customHeight="1">
      <c r="A48" s="67" t="s">
        <v>55</v>
      </c>
      <c r="C48" s="67" t="s">
        <v>49</v>
      </c>
      <c r="F48" s="67" t="s">
        <v>93</v>
      </c>
    </row>
    <row r="49" s="67" customFormat="1" ht="13.5" customHeight="1">
      <c r="F49" s="128" t="s">
        <v>516</v>
      </c>
    </row>
    <row r="50" s="67" customFormat="1" ht="15">
      <c r="A50" s="67" t="s">
        <v>50</v>
      </c>
    </row>
    <row r="51" spans="3:7" s="67" customFormat="1" ht="11.25" customHeight="1">
      <c r="C51" s="130" t="s">
        <v>51</v>
      </c>
      <c r="E51" s="130"/>
      <c r="F51" s="130"/>
      <c r="G51" s="130"/>
    </row>
    <row r="52" s="67" customFormat="1" ht="15"/>
    <row r="53" s="67" customFormat="1" ht="15"/>
  </sheetData>
  <sheetProtection/>
  <mergeCells count="20">
    <mergeCell ref="A1:I1"/>
    <mergeCell ref="A2:I2"/>
    <mergeCell ref="A5:I5"/>
    <mergeCell ref="A10:I10"/>
    <mergeCell ref="A3:K3"/>
    <mergeCell ref="A11:I11"/>
    <mergeCell ref="A12:I12"/>
    <mergeCell ref="A34:C34"/>
    <mergeCell ref="F43:G43"/>
    <mergeCell ref="F42:G42"/>
    <mergeCell ref="A39:I39"/>
    <mergeCell ref="F41:G41"/>
    <mergeCell ref="B41:C41"/>
    <mergeCell ref="A33:F33"/>
    <mergeCell ref="F45:G45"/>
    <mergeCell ref="B45:C45"/>
    <mergeCell ref="F44:G44"/>
    <mergeCell ref="B43:C43"/>
    <mergeCell ref="B44:C44"/>
    <mergeCell ref="B42:C42"/>
  </mergeCells>
  <printOptions/>
  <pageMargins left="0" right="0" top="0" bottom="0" header="0.31496062992125984" footer="0.31496062992125984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N56"/>
  <sheetViews>
    <sheetView zoomScaleSheetLayoutView="100" zoomScalePageLayoutView="0" workbookViewId="0" topLeftCell="A37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5.57421875" style="35" customWidth="1"/>
    <col min="3" max="3" width="12.8515625" style="35" customWidth="1"/>
    <col min="4" max="4" width="13.140625" style="35" bestFit="1" customWidth="1"/>
    <col min="5" max="5" width="12.7109375" style="35" customWidth="1"/>
    <col min="6" max="6" width="15.281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4" width="9.7109375" style="35" bestFit="1" customWidth="1"/>
    <col min="15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4.2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4.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3.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4.5" customHeight="1"/>
    <row r="7" spans="1:6" s="67" customFormat="1" ht="16.5" customHeight="1">
      <c r="A7" s="67" t="s">
        <v>2</v>
      </c>
      <c r="F7" s="128" t="s">
        <v>70</v>
      </c>
    </row>
    <row r="8" spans="1:10" s="67" customFormat="1" ht="15">
      <c r="A8" s="67" t="s">
        <v>3</v>
      </c>
      <c r="F8" s="299" t="s">
        <v>399</v>
      </c>
      <c r="I8" s="204">
        <v>92.4</v>
      </c>
      <c r="J8" s="67">
        <v>4481.29</v>
      </c>
    </row>
    <row r="9" s="67" customFormat="1" ht="6.7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'[1]пер.Чичерина 24'!$G$37</f>
        <v>-39261.52999999999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'[1]пер.Чичерина 24'!$G$38</f>
        <v>-512.8387999999904</v>
      </c>
      <c r="H15" s="62"/>
      <c r="I15" s="62"/>
    </row>
    <row r="16" s="67" customFormat="1" ht="7.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29.25">
      <c r="A18" s="75" t="s">
        <v>14</v>
      </c>
      <c r="B18" s="41" t="s">
        <v>15</v>
      </c>
      <c r="C18" s="137">
        <f>C19+C20+C21+C22</f>
        <v>9.879999999999999</v>
      </c>
      <c r="D18" s="76">
        <v>539370.21</v>
      </c>
      <c r="E18" s="76">
        <v>537175.42</v>
      </c>
      <c r="F18" s="76">
        <f>D18</f>
        <v>539370.21</v>
      </c>
      <c r="G18" s="77">
        <f>D18-E18</f>
        <v>2194.789999999921</v>
      </c>
      <c r="H18" s="14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188888.75775303645</v>
      </c>
      <c r="E19" s="83">
        <f>E18*I19</f>
        <v>188120.13696356278</v>
      </c>
      <c r="F19" s="83">
        <f>D19</f>
        <v>188888.75775303645</v>
      </c>
      <c r="G19" s="84">
        <f>D19-E19</f>
        <v>768.6207894736726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92260.69381578948</v>
      </c>
      <c r="E20" s="83">
        <f>E18*I20</f>
        <v>91885.26921052633</v>
      </c>
      <c r="F20" s="83">
        <f>D20</f>
        <v>92260.69381578948</v>
      </c>
      <c r="G20" s="84">
        <f>D20-E20</f>
        <v>375.4246052631497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92260.69381578948</v>
      </c>
      <c r="E21" s="83">
        <f>E18*I21</f>
        <v>91885.26921052633</v>
      </c>
      <c r="F21" s="83">
        <f>D21</f>
        <v>92260.69381578948</v>
      </c>
      <c r="G21" s="84">
        <f>D21-E21</f>
        <v>375.4246052631497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165960.06461538462</v>
      </c>
      <c r="E22" s="83">
        <f>E18*I22</f>
        <v>165284.74461538464</v>
      </c>
      <c r="F22" s="83">
        <f>D22</f>
        <v>165960.06461538462</v>
      </c>
      <c r="G22" s="84">
        <f>D22-E22</f>
        <v>675.3199999999779</v>
      </c>
      <c r="H22" s="147">
        <f>C22</f>
        <v>3.04</v>
      </c>
      <c r="I22" s="67">
        <f>H22/H18</f>
        <v>0.3076923076923077</v>
      </c>
    </row>
    <row r="23" spans="1:7" ht="15">
      <c r="A23" s="41" t="s">
        <v>25</v>
      </c>
      <c r="B23" s="142" t="s">
        <v>311</v>
      </c>
      <c r="C23" s="97">
        <v>0</v>
      </c>
      <c r="D23" s="77">
        <v>0</v>
      </c>
      <c r="E23" s="77">
        <v>519.2</v>
      </c>
      <c r="F23" s="77">
        <v>0</v>
      </c>
      <c r="G23" s="77">
        <f aca="true" t="shared" si="0" ref="G23:G33">D23-E23</f>
        <v>-519.2</v>
      </c>
    </row>
    <row r="24" spans="1:7" ht="1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2" t="s">
        <v>168</v>
      </c>
      <c r="C25" s="143" t="s">
        <v>394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14" ht="15">
      <c r="A26" s="41" t="s">
        <v>31</v>
      </c>
      <c r="B26" s="142" t="s">
        <v>119</v>
      </c>
      <c r="C26" s="97">
        <v>1.86</v>
      </c>
      <c r="D26" s="77">
        <v>98966.52</v>
      </c>
      <c r="E26" s="77">
        <v>100867.07</v>
      </c>
      <c r="F26" s="87">
        <f>F43</f>
        <v>70889.3607</v>
      </c>
      <c r="G26" s="77">
        <f t="shared" si="0"/>
        <v>-1900.550000000003</v>
      </c>
      <c r="M26" s="161"/>
      <c r="N26" s="161"/>
    </row>
    <row r="27" spans="1:7" ht="15">
      <c r="A27" s="41" t="s">
        <v>33</v>
      </c>
      <c r="B27" s="136" t="s">
        <v>34</v>
      </c>
      <c r="C27" s="46">
        <v>0</v>
      </c>
      <c r="D27" s="77">
        <v>0</v>
      </c>
      <c r="E27" s="77">
        <v>0.01</v>
      </c>
      <c r="F27" s="87">
        <v>0</v>
      </c>
      <c r="G27" s="77">
        <f t="shared" si="0"/>
        <v>-0.01</v>
      </c>
    </row>
    <row r="28" spans="1:7" ht="15">
      <c r="A28" s="41" t="s">
        <v>35</v>
      </c>
      <c r="B28" s="136" t="s">
        <v>36</v>
      </c>
      <c r="C28" s="97"/>
      <c r="D28" s="77">
        <f>SUM(D29:D32)</f>
        <v>1944736.2000000002</v>
      </c>
      <c r="E28" s="77">
        <f>SUM(E29:E32)</f>
        <v>1978800.4300000002</v>
      </c>
      <c r="F28" s="77">
        <f>SUM(F29:F32)</f>
        <v>1944736.2000000002</v>
      </c>
      <c r="G28" s="77">
        <f t="shared" si="0"/>
        <v>-34064.22999999998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20632.52</v>
      </c>
      <c r="E29" s="84">
        <v>21586.31</v>
      </c>
      <c r="F29" s="84">
        <f>D29</f>
        <v>20632.52</v>
      </c>
      <c r="G29" s="84">
        <f t="shared" si="0"/>
        <v>-953.7900000000009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621135.67</v>
      </c>
      <c r="E30" s="84">
        <v>630421.06</v>
      </c>
      <c r="F30" s="84">
        <f>D30</f>
        <v>621135.67</v>
      </c>
      <c r="G30" s="84">
        <f t="shared" si="0"/>
        <v>-9285.390000000014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4">
        <f>D31</f>
        <v>0</v>
      </c>
      <c r="G31" s="84">
        <f t="shared" si="0"/>
        <v>0</v>
      </c>
    </row>
    <row r="32" spans="1:10" s="102" customFormat="1" ht="15">
      <c r="A32" s="34" t="s">
        <v>41</v>
      </c>
      <c r="B32" s="34" t="s">
        <v>43</v>
      </c>
      <c r="C32" s="293" t="s">
        <v>380</v>
      </c>
      <c r="D32" s="84">
        <v>1302968.01</v>
      </c>
      <c r="E32" s="84">
        <v>1326793.06</v>
      </c>
      <c r="F32" s="84">
        <f>D32</f>
        <v>1302968.01</v>
      </c>
      <c r="G32" s="84">
        <f t="shared" si="0"/>
        <v>-23825.050000000047</v>
      </c>
      <c r="H32" s="101"/>
      <c r="I32" s="101"/>
      <c r="J32" s="101"/>
    </row>
    <row r="33" spans="1:10" s="102" customFormat="1" ht="15">
      <c r="A33" s="194" t="s">
        <v>345</v>
      </c>
      <c r="B33" s="344" t="s">
        <v>350</v>
      </c>
      <c r="C33" s="293"/>
      <c r="D33" s="295">
        <v>18000</v>
      </c>
      <c r="E33" s="295">
        <f>7182+2700+7200</f>
        <v>17082</v>
      </c>
      <c r="F33" s="326"/>
      <c r="G33" s="295">
        <f t="shared" si="0"/>
        <v>918</v>
      </c>
      <c r="H33" s="101"/>
      <c r="I33" s="101"/>
      <c r="J33" s="101"/>
    </row>
    <row r="34" spans="1:10" s="102" customFormat="1" ht="15.75" thickBot="1">
      <c r="A34" s="363" t="s">
        <v>378</v>
      </c>
      <c r="B34" s="364"/>
      <c r="C34" s="364"/>
      <c r="D34" s="365"/>
      <c r="E34" s="365"/>
      <c r="F34" s="365"/>
      <c r="G34" s="172"/>
      <c r="H34" s="101"/>
      <c r="I34" s="101"/>
      <c r="J34" s="101"/>
    </row>
    <row r="35" spans="1:9" s="67" customFormat="1" ht="15.75" thickBot="1">
      <c r="A35" s="378" t="s">
        <v>383</v>
      </c>
      <c r="B35" s="379"/>
      <c r="C35" s="379"/>
      <c r="D35" s="65">
        <v>745782.38</v>
      </c>
      <c r="E35" s="66"/>
      <c r="F35" s="66"/>
      <c r="G35" s="66"/>
      <c r="H35" s="62"/>
      <c r="I35" s="62"/>
    </row>
    <row r="36" spans="1:9" s="67" customFormat="1" ht="6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386</v>
      </c>
      <c r="B37" s="64"/>
      <c r="C37" s="64"/>
      <c r="D37" s="69"/>
      <c r="E37" s="70"/>
      <c r="F37" s="70"/>
      <c r="G37" s="146">
        <f>G14+E27-F27</f>
        <v>-39261.51999999999</v>
      </c>
      <c r="H37" s="62"/>
      <c r="I37" s="62"/>
    </row>
    <row r="38" spans="1:9" s="67" customFormat="1" ht="15.75" thickBot="1">
      <c r="A38" s="63" t="s">
        <v>387</v>
      </c>
      <c r="B38" s="64"/>
      <c r="C38" s="64"/>
      <c r="D38" s="69"/>
      <c r="E38" s="70"/>
      <c r="F38" s="70"/>
      <c r="G38" s="146">
        <f>G15+E26-F26</f>
        <v>29464.870500000005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ht="25.5" customHeight="1">
      <c r="A40" s="433" t="s">
        <v>44</v>
      </c>
      <c r="B40" s="433"/>
      <c r="C40" s="433"/>
      <c r="D40" s="433"/>
      <c r="E40" s="433"/>
      <c r="F40" s="433"/>
      <c r="G40" s="433"/>
      <c r="H40" s="433"/>
      <c r="I40" s="433"/>
    </row>
    <row r="41" ht="4.5" customHeight="1"/>
    <row r="42" spans="1:7" s="173" customFormat="1" ht="28.5" customHeight="1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5"/>
    </row>
    <row r="43" spans="1:7" s="115" customFormat="1" ht="12.75" customHeight="1">
      <c r="A43" s="109" t="s">
        <v>47</v>
      </c>
      <c r="B43" s="396" t="s">
        <v>114</v>
      </c>
      <c r="C43" s="399"/>
      <c r="D43" s="111"/>
      <c r="E43" s="111"/>
      <c r="F43" s="411">
        <f>SUM(F44:L49)</f>
        <v>70889.3607</v>
      </c>
      <c r="G43" s="404"/>
    </row>
    <row r="44" spans="1:7" ht="12.75" customHeight="1">
      <c r="A44" s="34" t="s">
        <v>16</v>
      </c>
      <c r="B44" s="369" t="s">
        <v>532</v>
      </c>
      <c r="C44" s="371"/>
      <c r="D44" s="119" t="s">
        <v>258</v>
      </c>
      <c r="E44" s="119"/>
      <c r="F44" s="420">
        <v>1202</v>
      </c>
      <c r="G44" s="421"/>
    </row>
    <row r="45" spans="1:7" ht="12.75" customHeight="1">
      <c r="A45" s="34" t="s">
        <v>18</v>
      </c>
      <c r="B45" s="369" t="s">
        <v>533</v>
      </c>
      <c r="C45" s="371"/>
      <c r="D45" s="119" t="s">
        <v>240</v>
      </c>
      <c r="E45" s="119">
        <v>0.1</v>
      </c>
      <c r="F45" s="410">
        <v>27288.19</v>
      </c>
      <c r="G45" s="410"/>
    </row>
    <row r="46" spans="1:7" ht="12.75" customHeight="1">
      <c r="A46" s="34" t="s">
        <v>20</v>
      </c>
      <c r="B46" s="369" t="s">
        <v>534</v>
      </c>
      <c r="C46" s="371"/>
      <c r="D46" s="119" t="s">
        <v>248</v>
      </c>
      <c r="E46" s="122">
        <v>1</v>
      </c>
      <c r="F46" s="420">
        <v>11329.61</v>
      </c>
      <c r="G46" s="421"/>
    </row>
    <row r="47" spans="1:7" ht="12.75" customHeight="1">
      <c r="A47" s="34" t="s">
        <v>22</v>
      </c>
      <c r="B47" s="369" t="s">
        <v>535</v>
      </c>
      <c r="C47" s="371"/>
      <c r="D47" s="119" t="s">
        <v>240</v>
      </c>
      <c r="E47" s="119">
        <v>0.08</v>
      </c>
      <c r="F47" s="420">
        <v>20060.89</v>
      </c>
      <c r="G47" s="421"/>
    </row>
    <row r="48" spans="1:7" ht="12.75" customHeight="1">
      <c r="A48" s="34" t="s">
        <v>24</v>
      </c>
      <c r="B48" s="369" t="s">
        <v>840</v>
      </c>
      <c r="C48" s="415"/>
      <c r="D48" s="119"/>
      <c r="E48" s="154"/>
      <c r="F48" s="398">
        <v>10000</v>
      </c>
      <c r="G48" s="398"/>
    </row>
    <row r="49" spans="1:7" ht="15">
      <c r="A49" s="34" t="s">
        <v>106</v>
      </c>
      <c r="B49" s="150" t="s">
        <v>198</v>
      </c>
      <c r="C49" s="151"/>
      <c r="D49" s="119"/>
      <c r="E49" s="119"/>
      <c r="F49" s="410">
        <f>E26*1%</f>
        <v>1008.6707000000001</v>
      </c>
      <c r="G49" s="410"/>
    </row>
    <row r="50" s="67" customFormat="1" ht="13.5" customHeight="1"/>
    <row r="51" spans="1:6" s="67" customFormat="1" ht="15">
      <c r="A51" s="67" t="s">
        <v>55</v>
      </c>
      <c r="C51" s="67" t="s">
        <v>49</v>
      </c>
      <c r="F51" s="67" t="s">
        <v>93</v>
      </c>
    </row>
    <row r="52" s="67" customFormat="1" ht="12" customHeight="1">
      <c r="F52" s="128" t="s">
        <v>516</v>
      </c>
    </row>
    <row r="53" s="67" customFormat="1" ht="15">
      <c r="A53" s="67" t="s">
        <v>50</v>
      </c>
    </row>
    <row r="54" spans="3:7" s="67" customFormat="1" ht="15">
      <c r="C54" s="130" t="s">
        <v>51</v>
      </c>
      <c r="E54" s="130"/>
      <c r="F54" s="130"/>
      <c r="G54" s="130"/>
    </row>
    <row r="55" spans="1:7" ht="15">
      <c r="A55" s="67"/>
      <c r="B55" s="67"/>
      <c r="C55" s="67"/>
      <c r="D55" s="67"/>
      <c r="E55" s="67"/>
      <c r="F55" s="67"/>
      <c r="G55" s="67"/>
    </row>
    <row r="56" spans="1:7" ht="15">
      <c r="A56" s="67"/>
      <c r="B56" s="67"/>
      <c r="C56" s="67"/>
      <c r="D56" s="67"/>
      <c r="E56" s="67"/>
      <c r="F56" s="67"/>
      <c r="G56" s="67"/>
    </row>
  </sheetData>
  <sheetProtection/>
  <mergeCells count="25">
    <mergeCell ref="B47:C47"/>
    <mergeCell ref="B48:C48"/>
    <mergeCell ref="A40:I40"/>
    <mergeCell ref="B42:C42"/>
    <mergeCell ref="B43:C43"/>
    <mergeCell ref="B44:C44"/>
    <mergeCell ref="B45:C45"/>
    <mergeCell ref="B46:C46"/>
    <mergeCell ref="F49:G49"/>
    <mergeCell ref="F44:G44"/>
    <mergeCell ref="F42:G42"/>
    <mergeCell ref="F47:G47"/>
    <mergeCell ref="F48:G48"/>
    <mergeCell ref="F43:G43"/>
    <mergeCell ref="F46:G46"/>
    <mergeCell ref="F45:G45"/>
    <mergeCell ref="A12:I12"/>
    <mergeCell ref="A35:C35"/>
    <mergeCell ref="A11:I11"/>
    <mergeCell ref="A1:I1"/>
    <mergeCell ref="A2:I2"/>
    <mergeCell ref="A5:I5"/>
    <mergeCell ref="A10:I10"/>
    <mergeCell ref="A3:K3"/>
    <mergeCell ref="A34:F34"/>
  </mergeCells>
  <printOptions/>
  <pageMargins left="0" right="0" top="0" bottom="0" header="0.31496062992125984" footer="0.31496062992125984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56"/>
  <sheetViews>
    <sheetView zoomScalePageLayoutView="0" workbookViewId="0" topLeftCell="A24">
      <selection activeCell="G35" sqref="G35"/>
    </sheetView>
  </sheetViews>
  <sheetFormatPr defaultColWidth="9.140625" defaultRowHeight="15" outlineLevelCol="1"/>
  <cols>
    <col min="1" max="1" width="4.7109375" style="35" customWidth="1"/>
    <col min="2" max="2" width="47.28125" style="35" customWidth="1"/>
    <col min="3" max="3" width="12.8515625" style="35" customWidth="1"/>
    <col min="4" max="4" width="13.57421875" style="35" customWidth="1"/>
    <col min="5" max="5" width="15.57421875" style="35" customWidth="1"/>
    <col min="6" max="6" width="14.574218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.7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6.75" customHeight="1"/>
    <row r="7" spans="1:6" s="67" customFormat="1" ht="16.5" customHeight="1">
      <c r="A7" s="67" t="s">
        <v>2</v>
      </c>
      <c r="F7" s="128" t="s">
        <v>71</v>
      </c>
    </row>
    <row r="8" spans="1:6" s="67" customFormat="1" ht="15">
      <c r="A8" s="67" t="s">
        <v>3</v>
      </c>
      <c r="F8" s="299" t="s">
        <v>400</v>
      </c>
    </row>
    <row r="9" s="67" customFormat="1" ht="6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'[1]пер. Чичерина 28'!$G$36</f>
        <v>99543.7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'[1]пер. Чичерина 28'!$G$37</f>
        <v>259562.42319999996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29.25">
      <c r="A18" s="75" t="s">
        <v>14</v>
      </c>
      <c r="B18" s="41" t="s">
        <v>15</v>
      </c>
      <c r="C18" s="137">
        <f>C19+C20+C21+C22</f>
        <v>9.879999999999999</v>
      </c>
      <c r="D18" s="76">
        <v>365734.92</v>
      </c>
      <c r="E18" s="76">
        <v>365547.55</v>
      </c>
      <c r="F18" s="76">
        <f>D18</f>
        <v>365734.92</v>
      </c>
      <c r="G18" s="77">
        <f>D18-E18</f>
        <v>187.36999999999534</v>
      </c>
      <c r="H18" s="14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128081.2574089069</v>
      </c>
      <c r="E19" s="83">
        <f>E18*I19</f>
        <v>128015.63997975709</v>
      </c>
      <c r="F19" s="83">
        <f>D19</f>
        <v>128081.2574089069</v>
      </c>
      <c r="G19" s="84">
        <f>D19-E19</f>
        <v>65.61742914980277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62559.920526315786</v>
      </c>
      <c r="E20" s="83">
        <f>E18*I20</f>
        <v>62527.87039473684</v>
      </c>
      <c r="F20" s="83">
        <f>D20</f>
        <v>62559.920526315786</v>
      </c>
      <c r="G20" s="84">
        <f>D20-E20</f>
        <v>32.050131578944274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62559.920526315786</v>
      </c>
      <c r="E21" s="83">
        <f>E18*I21</f>
        <v>62527.87039473684</v>
      </c>
      <c r="F21" s="83">
        <f>D21</f>
        <v>62559.920526315786</v>
      </c>
      <c r="G21" s="84">
        <f>D21-E21</f>
        <v>32.050131578944274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112533.82153846155</v>
      </c>
      <c r="E22" s="83">
        <f>E18*I22</f>
        <v>112476.16923076923</v>
      </c>
      <c r="F22" s="83">
        <f>D22</f>
        <v>112533.82153846155</v>
      </c>
      <c r="G22" s="84">
        <f>D22-E22</f>
        <v>57.65230769231857</v>
      </c>
      <c r="H22" s="147">
        <f>C22</f>
        <v>3.04</v>
      </c>
      <c r="I22" s="67">
        <f>H22/H18</f>
        <v>0.3076923076923077</v>
      </c>
    </row>
    <row r="23" spans="1:7" ht="15">
      <c r="A23" s="41" t="s">
        <v>25</v>
      </c>
      <c r="B23" s="142" t="s">
        <v>26</v>
      </c>
      <c r="C23" s="97">
        <v>0</v>
      </c>
      <c r="D23" s="77">
        <v>0</v>
      </c>
      <c r="E23" s="77">
        <v>0</v>
      </c>
      <c r="F23" s="77">
        <v>0</v>
      </c>
      <c r="G23" s="77">
        <f aca="true" t="shared" si="0" ref="G23:G32">D23-E23</f>
        <v>0</v>
      </c>
    </row>
    <row r="24" spans="1:7" ht="1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2" t="s">
        <v>168</v>
      </c>
      <c r="C25" s="143"/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7" ht="15">
      <c r="A26" s="41" t="s">
        <v>31</v>
      </c>
      <c r="B26" s="142" t="s">
        <v>119</v>
      </c>
      <c r="C26" s="97">
        <v>1.86</v>
      </c>
      <c r="D26" s="77">
        <v>68926.64</v>
      </c>
      <c r="E26" s="77">
        <v>68871.71</v>
      </c>
      <c r="F26" s="87">
        <f>F41</f>
        <v>329477.97709999996</v>
      </c>
      <c r="G26" s="77">
        <f t="shared" si="0"/>
        <v>54.929999999993015</v>
      </c>
    </row>
    <row r="27" spans="1:7" ht="15">
      <c r="A27" s="41" t="s">
        <v>33</v>
      </c>
      <c r="B27" s="136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7" ht="15">
      <c r="A28" s="41" t="s">
        <v>35</v>
      </c>
      <c r="B28" s="136" t="s">
        <v>36</v>
      </c>
      <c r="C28" s="97"/>
      <c r="D28" s="77">
        <f>SUM(D29:D32)</f>
        <v>1562746.0999999999</v>
      </c>
      <c r="E28" s="77">
        <f>SUM(E29:E32)</f>
        <v>1554722.26</v>
      </c>
      <c r="F28" s="77">
        <f>SUM(F29:F32)</f>
        <v>1562746.0999999999</v>
      </c>
      <c r="G28" s="77">
        <f t="shared" si="0"/>
        <v>8023.839999999851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35061.06</v>
      </c>
      <c r="E29" s="84">
        <v>35001</v>
      </c>
      <c r="F29" s="84">
        <f>D29</f>
        <v>35061.06</v>
      </c>
      <c r="G29" s="84">
        <f t="shared" si="0"/>
        <v>60.05999999999767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388469.63</v>
      </c>
      <c r="E30" s="84">
        <v>387684.49</v>
      </c>
      <c r="F30" s="84">
        <f>D30</f>
        <v>388469.63</v>
      </c>
      <c r="G30" s="84">
        <f t="shared" si="0"/>
        <v>785.140000000014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4">
        <f>D31</f>
        <v>0</v>
      </c>
      <c r="G31" s="84">
        <f t="shared" si="0"/>
        <v>0</v>
      </c>
    </row>
    <row r="32" spans="1:9" ht="15.75" thickBot="1">
      <c r="A32" s="34" t="s">
        <v>41</v>
      </c>
      <c r="B32" s="34" t="s">
        <v>43</v>
      </c>
      <c r="C32" s="293" t="s">
        <v>380</v>
      </c>
      <c r="D32" s="84">
        <v>1139215.41</v>
      </c>
      <c r="E32" s="84">
        <v>1132036.77</v>
      </c>
      <c r="F32" s="84">
        <f>D32</f>
        <v>1139215.41</v>
      </c>
      <c r="G32" s="84">
        <f t="shared" si="0"/>
        <v>7178.639999999898</v>
      </c>
      <c r="H32" s="101"/>
      <c r="I32" s="101"/>
    </row>
    <row r="33" spans="1:10" s="102" customFormat="1" ht="14.25" thickBot="1">
      <c r="A33" s="378" t="s">
        <v>383</v>
      </c>
      <c r="B33" s="379"/>
      <c r="C33" s="379"/>
      <c r="D33" s="65">
        <v>839454.49</v>
      </c>
      <c r="E33" s="66"/>
      <c r="F33" s="66"/>
      <c r="G33" s="66"/>
      <c r="H33" s="62"/>
      <c r="I33" s="62"/>
      <c r="J33" s="101"/>
    </row>
    <row r="34" spans="1:9" s="67" customFormat="1" ht="15.75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386</v>
      </c>
      <c r="B35" s="64"/>
      <c r="C35" s="64"/>
      <c r="D35" s="69"/>
      <c r="E35" s="70"/>
      <c r="F35" s="70"/>
      <c r="G35" s="146">
        <f>G14+E27-F27</f>
        <v>99543.7</v>
      </c>
      <c r="H35" s="62"/>
      <c r="I35" s="62"/>
    </row>
    <row r="36" spans="1:9" s="67" customFormat="1" ht="15.75" thickBot="1">
      <c r="A36" s="63" t="s">
        <v>387</v>
      </c>
      <c r="B36" s="64"/>
      <c r="C36" s="64"/>
      <c r="D36" s="69"/>
      <c r="E36" s="70"/>
      <c r="F36" s="70"/>
      <c r="G36" s="146">
        <f>G15+E26-F26</f>
        <v>-1043.843899999978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s="67" customFormat="1" ht="35.25" customHeight="1">
      <c r="A38" s="433" t="s">
        <v>44</v>
      </c>
      <c r="B38" s="433"/>
      <c r="C38" s="433"/>
      <c r="D38" s="433"/>
      <c r="E38" s="433"/>
      <c r="F38" s="433"/>
      <c r="G38" s="433"/>
      <c r="H38" s="433"/>
      <c r="I38" s="433"/>
    </row>
    <row r="39" ht="27" customHeight="1"/>
    <row r="40" spans="1:9" ht="28.5">
      <c r="A40" s="105" t="s">
        <v>11</v>
      </c>
      <c r="B40" s="394" t="s">
        <v>45</v>
      </c>
      <c r="C40" s="405"/>
      <c r="D40" s="105" t="s">
        <v>170</v>
      </c>
      <c r="E40" s="105" t="s">
        <v>169</v>
      </c>
      <c r="F40" s="394" t="s">
        <v>46</v>
      </c>
      <c r="G40" s="405"/>
      <c r="H40" s="173"/>
      <c r="I40" s="173"/>
    </row>
    <row r="41" spans="1:9" s="173" customFormat="1" ht="15">
      <c r="A41" s="109" t="s">
        <v>47</v>
      </c>
      <c r="B41" s="396" t="s">
        <v>114</v>
      </c>
      <c r="C41" s="399"/>
      <c r="D41" s="111"/>
      <c r="E41" s="111"/>
      <c r="F41" s="411">
        <f>SUM(F42:L48)</f>
        <v>329477.97709999996</v>
      </c>
      <c r="G41" s="404"/>
      <c r="H41" s="115"/>
      <c r="I41" s="115"/>
    </row>
    <row r="42" spans="1:9" s="115" customFormat="1" ht="12.75" customHeight="1">
      <c r="A42" s="34" t="s">
        <v>16</v>
      </c>
      <c r="B42" s="369" t="s">
        <v>536</v>
      </c>
      <c r="C42" s="415"/>
      <c r="D42" s="119" t="s">
        <v>240</v>
      </c>
      <c r="E42" s="154">
        <v>0.23</v>
      </c>
      <c r="F42" s="398">
        <v>31150.58</v>
      </c>
      <c r="G42" s="398"/>
      <c r="H42" s="35"/>
      <c r="I42" s="35"/>
    </row>
    <row r="43" spans="1:9" s="115" customFormat="1" ht="12.75" customHeight="1">
      <c r="A43" s="34" t="s">
        <v>18</v>
      </c>
      <c r="B43" s="369" t="s">
        <v>537</v>
      </c>
      <c r="C43" s="415"/>
      <c r="D43" s="119" t="s">
        <v>240</v>
      </c>
      <c r="E43" s="154">
        <v>0.04</v>
      </c>
      <c r="F43" s="398">
        <v>46846.2</v>
      </c>
      <c r="G43" s="398"/>
      <c r="H43" s="35"/>
      <c r="I43" s="35"/>
    </row>
    <row r="44" spans="1:9" s="115" customFormat="1" ht="12.75" customHeight="1">
      <c r="A44" s="34" t="s">
        <v>20</v>
      </c>
      <c r="B44" s="117" t="s">
        <v>539</v>
      </c>
      <c r="C44" s="345"/>
      <c r="D44" s="119" t="s">
        <v>538</v>
      </c>
      <c r="E44" s="154">
        <v>0.007768</v>
      </c>
      <c r="F44" s="398">
        <v>4893.5</v>
      </c>
      <c r="G44" s="398"/>
      <c r="H44" s="35"/>
      <c r="I44" s="35"/>
    </row>
    <row r="45" spans="1:9" s="115" customFormat="1" ht="12.75" customHeight="1">
      <c r="A45" s="34" t="s">
        <v>22</v>
      </c>
      <c r="B45" s="117" t="s">
        <v>540</v>
      </c>
      <c r="C45" s="345"/>
      <c r="D45" s="119" t="s">
        <v>174</v>
      </c>
      <c r="E45" s="154">
        <v>70</v>
      </c>
      <c r="F45" s="398">
        <v>212414.44</v>
      </c>
      <c r="G45" s="398"/>
      <c r="H45" s="35"/>
      <c r="I45" s="35"/>
    </row>
    <row r="46" spans="1:9" s="115" customFormat="1" ht="12.75" customHeight="1">
      <c r="A46" s="34" t="s">
        <v>24</v>
      </c>
      <c r="B46" s="117" t="s">
        <v>541</v>
      </c>
      <c r="C46" s="345"/>
      <c r="D46" s="119" t="s">
        <v>173</v>
      </c>
      <c r="E46" s="154">
        <v>0.2</v>
      </c>
      <c r="F46" s="398">
        <v>15147.79</v>
      </c>
      <c r="G46" s="398"/>
      <c r="H46" s="35"/>
      <c r="I46" s="35"/>
    </row>
    <row r="47" spans="1:9" s="115" customFormat="1" ht="12.75" customHeight="1">
      <c r="A47" s="34" t="s">
        <v>106</v>
      </c>
      <c r="B47" s="369" t="s">
        <v>542</v>
      </c>
      <c r="C47" s="415"/>
      <c r="D47" s="119" t="s">
        <v>265</v>
      </c>
      <c r="E47" s="154">
        <v>0.378</v>
      </c>
      <c r="F47" s="398">
        <v>18336.75</v>
      </c>
      <c r="G47" s="398"/>
      <c r="H47" s="35"/>
      <c r="I47" s="35"/>
    </row>
    <row r="48" spans="1:9" s="67" customFormat="1" ht="15">
      <c r="A48" s="34" t="s">
        <v>107</v>
      </c>
      <c r="B48" s="150" t="s">
        <v>198</v>
      </c>
      <c r="C48" s="151"/>
      <c r="D48" s="119"/>
      <c r="E48" s="119"/>
      <c r="F48" s="410">
        <f>E26*1%</f>
        <v>688.7171000000001</v>
      </c>
      <c r="G48" s="410"/>
      <c r="H48" s="35"/>
      <c r="I48" s="35"/>
    </row>
    <row r="49" s="67" customFormat="1" ht="13.5" customHeight="1"/>
    <row r="50" s="67" customFormat="1" ht="13.5" customHeight="1"/>
    <row r="51" spans="1:6" s="67" customFormat="1" ht="13.5" customHeight="1">
      <c r="A51" s="67" t="s">
        <v>55</v>
      </c>
      <c r="C51" s="67" t="s">
        <v>49</v>
      </c>
      <c r="F51" s="67" t="s">
        <v>93</v>
      </c>
    </row>
    <row r="52" s="67" customFormat="1" ht="13.5" customHeight="1">
      <c r="F52" s="128" t="s">
        <v>516</v>
      </c>
    </row>
    <row r="53" s="67" customFormat="1" ht="15">
      <c r="A53" s="67" t="s">
        <v>50</v>
      </c>
    </row>
    <row r="54" spans="3:7" s="67" customFormat="1" ht="15">
      <c r="C54" s="130" t="s">
        <v>51</v>
      </c>
      <c r="E54" s="130"/>
      <c r="F54" s="130"/>
      <c r="G54" s="130"/>
    </row>
    <row r="55" s="67" customFormat="1" ht="15"/>
    <row r="56" spans="1:7" s="67" customFormat="1" ht="15">
      <c r="A56" s="35"/>
      <c r="B56" s="35"/>
      <c r="C56" s="35"/>
      <c r="D56" s="35"/>
      <c r="E56" s="35"/>
      <c r="F56" s="35"/>
      <c r="G56" s="35"/>
    </row>
  </sheetData>
  <sheetProtection/>
  <mergeCells count="23">
    <mergeCell ref="F47:G47"/>
    <mergeCell ref="A33:C33"/>
    <mergeCell ref="A38:I38"/>
    <mergeCell ref="B40:C40"/>
    <mergeCell ref="F40:G40"/>
    <mergeCell ref="B41:C41"/>
    <mergeCell ref="F42:G42"/>
    <mergeCell ref="A1:I1"/>
    <mergeCell ref="A2:I2"/>
    <mergeCell ref="A5:I5"/>
    <mergeCell ref="A10:I10"/>
    <mergeCell ref="A3:K3"/>
    <mergeCell ref="F44:G44"/>
    <mergeCell ref="F48:G48"/>
    <mergeCell ref="A11:I11"/>
    <mergeCell ref="A12:I12"/>
    <mergeCell ref="F41:G41"/>
    <mergeCell ref="B47:C47"/>
    <mergeCell ref="B42:C42"/>
    <mergeCell ref="B43:C43"/>
    <mergeCell ref="F43:G43"/>
    <mergeCell ref="F45:G45"/>
    <mergeCell ref="F46:G46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54"/>
  <sheetViews>
    <sheetView zoomScale="96" zoomScaleNormal="96" zoomScalePageLayoutView="0" workbookViewId="0" topLeftCell="A26">
      <selection activeCell="G35" sqref="G35"/>
    </sheetView>
  </sheetViews>
  <sheetFormatPr defaultColWidth="9.140625" defaultRowHeight="15" outlineLevelCol="1"/>
  <cols>
    <col min="1" max="1" width="5.28125" style="35" customWidth="1"/>
    <col min="2" max="2" width="43.140625" style="35" customWidth="1"/>
    <col min="3" max="3" width="13.28125" style="161" customWidth="1"/>
    <col min="4" max="4" width="13.8515625" style="161" customWidth="1"/>
    <col min="5" max="5" width="13.7109375" style="161" customWidth="1"/>
    <col min="6" max="6" width="14.57421875" style="161" customWidth="1"/>
    <col min="7" max="7" width="15.00390625" style="161" customWidth="1"/>
    <col min="8" max="8" width="10.8515625" style="35" hidden="1" customWidth="1" outlineLevel="1"/>
    <col min="9" max="9" width="13.421875" style="35" hidden="1" customWidth="1" outlineLevel="1"/>
    <col min="10" max="11" width="9.140625" style="35" hidden="1" customWidth="1" outlineLevel="1"/>
    <col min="12" max="12" width="9.140625" style="35" hidden="1" customWidth="1" outlineLevel="1" collapsed="1"/>
    <col min="13" max="13" width="10.00390625" style="35" bestFit="1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.7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3" customHeight="1">
      <c r="A4" s="159"/>
      <c r="B4" s="159"/>
      <c r="C4" s="160"/>
      <c r="D4" s="160"/>
      <c r="E4" s="160"/>
      <c r="F4" s="160"/>
      <c r="G4" s="160"/>
      <c r="H4" s="159"/>
      <c r="I4" s="159"/>
    </row>
    <row r="5" spans="1:9" ht="15.7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3" customHeight="1"/>
    <row r="7" spans="1:7" s="67" customFormat="1" ht="16.5" customHeight="1">
      <c r="A7" s="67" t="s">
        <v>2</v>
      </c>
      <c r="C7" s="147"/>
      <c r="D7" s="147"/>
      <c r="E7" s="147"/>
      <c r="F7" s="162" t="s">
        <v>56</v>
      </c>
      <c r="G7" s="147"/>
    </row>
    <row r="8" spans="1:7" s="67" customFormat="1" ht="15">
      <c r="A8" s="67" t="s">
        <v>3</v>
      </c>
      <c r="C8" s="147"/>
      <c r="D8" s="147"/>
      <c r="E8" s="147"/>
      <c r="F8" s="162" t="s">
        <v>385</v>
      </c>
      <c r="G8" s="147"/>
    </row>
    <row r="9" spans="3:7" s="67" customFormat="1" ht="4.5" customHeight="1">
      <c r="C9" s="147"/>
      <c r="D9" s="147"/>
      <c r="E9" s="147"/>
      <c r="F9" s="147"/>
      <c r="G9" s="147"/>
    </row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165"/>
      <c r="D13" s="164"/>
      <c r="E13" s="164"/>
      <c r="F13" s="164"/>
      <c r="G13" s="164"/>
      <c r="H13" s="62"/>
      <c r="I13" s="62"/>
    </row>
    <row r="14" spans="1:9" s="67" customFormat="1" ht="15.75" thickBot="1">
      <c r="A14" s="63" t="s">
        <v>312</v>
      </c>
      <c r="B14" s="64"/>
      <c r="C14" s="166"/>
      <c r="D14" s="167"/>
      <c r="E14" s="167"/>
      <c r="F14" s="167"/>
      <c r="G14" s="163">
        <f>'[1]Пионерская 16'!$G$34</f>
        <v>34925.52</v>
      </c>
      <c r="H14" s="62"/>
      <c r="I14" s="62"/>
    </row>
    <row r="15" spans="1:9" s="67" customFormat="1" ht="15.75" thickBot="1">
      <c r="A15" s="63" t="s">
        <v>313</v>
      </c>
      <c r="B15" s="64"/>
      <c r="C15" s="166"/>
      <c r="D15" s="167"/>
      <c r="E15" s="167"/>
      <c r="F15" s="167"/>
      <c r="G15" s="163">
        <f>'[1]Пионерская 16'!$G$35</f>
        <v>289137.6518</v>
      </c>
      <c r="H15" s="62"/>
      <c r="I15" s="62"/>
    </row>
    <row r="16" spans="3:7" s="67" customFormat="1" ht="8.25" customHeight="1">
      <c r="C16" s="147"/>
      <c r="D16" s="147"/>
      <c r="E16" s="147"/>
      <c r="F16" s="147"/>
      <c r="G16" s="147"/>
    </row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169" customFormat="1" ht="14.25">
      <c r="A18" s="75" t="s">
        <v>14</v>
      </c>
      <c r="B18" s="136" t="s">
        <v>15</v>
      </c>
      <c r="C18" s="137">
        <f>C19+C20+C21+C22</f>
        <v>9.879999999999999</v>
      </c>
      <c r="D18" s="76">
        <v>565752.85</v>
      </c>
      <c r="E18" s="76">
        <v>548480.78</v>
      </c>
      <c r="F18" s="76">
        <f aca="true" t="shared" si="0" ref="F18:F23">D18</f>
        <v>565752.85</v>
      </c>
      <c r="G18" s="77">
        <f>D18-E18</f>
        <v>17272.06999999995</v>
      </c>
      <c r="H18" s="168">
        <f>C18</f>
        <v>9.879999999999999</v>
      </c>
    </row>
    <row r="19" spans="1:9" s="67" customFormat="1" ht="15">
      <c r="A19" s="81" t="s">
        <v>16</v>
      </c>
      <c r="B19" s="141" t="s">
        <v>17</v>
      </c>
      <c r="C19" s="99">
        <v>3.46</v>
      </c>
      <c r="D19" s="83">
        <f>D18*I19</f>
        <v>198128.02236842105</v>
      </c>
      <c r="E19" s="83">
        <f>E18*I19</f>
        <v>192079.30149797574</v>
      </c>
      <c r="F19" s="83">
        <f t="shared" si="0"/>
        <v>198128.02236842105</v>
      </c>
      <c r="G19" s="84">
        <f aca="true" t="shared" si="1" ref="G19:G29">D19-E19</f>
        <v>6048.720870445308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141" t="s">
        <v>19</v>
      </c>
      <c r="C20" s="99">
        <v>1.69</v>
      </c>
      <c r="D20" s="83">
        <f>D18*I20</f>
        <v>96773.51381578947</v>
      </c>
      <c r="E20" s="83">
        <f>E18*I20</f>
        <v>93819.0807894737</v>
      </c>
      <c r="F20" s="83">
        <f t="shared" si="0"/>
        <v>96773.51381578947</v>
      </c>
      <c r="G20" s="84">
        <f t="shared" si="1"/>
        <v>2954.4330263157754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141" t="s">
        <v>21</v>
      </c>
      <c r="C21" s="99">
        <v>1.69</v>
      </c>
      <c r="D21" s="83">
        <f>D18*I21</f>
        <v>96773.51381578947</v>
      </c>
      <c r="E21" s="83">
        <f>E18*I21</f>
        <v>93819.0807894737</v>
      </c>
      <c r="F21" s="83">
        <f t="shared" si="0"/>
        <v>96773.51381578947</v>
      </c>
      <c r="G21" s="84">
        <f t="shared" si="1"/>
        <v>2954.4330263157754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141" t="s">
        <v>23</v>
      </c>
      <c r="C22" s="99">
        <v>3.04</v>
      </c>
      <c r="D22" s="83">
        <f>D18*I22</f>
        <v>174077.8</v>
      </c>
      <c r="E22" s="83">
        <f>E18*I22</f>
        <v>168763.31692307693</v>
      </c>
      <c r="F22" s="83">
        <f t="shared" si="0"/>
        <v>174077.8</v>
      </c>
      <c r="G22" s="84">
        <f t="shared" si="1"/>
        <v>5314.483076923061</v>
      </c>
      <c r="H22" s="147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2" t="s">
        <v>168</v>
      </c>
      <c r="C23" s="143">
        <v>1902.11</v>
      </c>
      <c r="D23" s="87"/>
      <c r="E23" s="87"/>
      <c r="F23" s="87">
        <f t="shared" si="0"/>
        <v>0</v>
      </c>
      <c r="G23" s="77">
        <f t="shared" si="1"/>
        <v>0</v>
      </c>
    </row>
    <row r="24" spans="1:7" s="39" customFormat="1" ht="14.25">
      <c r="A24" s="41" t="s">
        <v>27</v>
      </c>
      <c r="B24" s="142" t="s">
        <v>119</v>
      </c>
      <c r="C24" s="143">
        <v>1.86</v>
      </c>
      <c r="D24" s="87">
        <v>103980.76</v>
      </c>
      <c r="E24" s="87">
        <v>103104.34</v>
      </c>
      <c r="F24" s="87">
        <f>F40</f>
        <v>54734.133400000006</v>
      </c>
      <c r="G24" s="77">
        <f t="shared" si="1"/>
        <v>876.4199999999983</v>
      </c>
    </row>
    <row r="25" spans="1:7" s="39" customFormat="1" ht="14.25">
      <c r="A25" s="41" t="s">
        <v>29</v>
      </c>
      <c r="B25" s="136" t="s">
        <v>36</v>
      </c>
      <c r="C25" s="137"/>
      <c r="D25" s="77">
        <f>SUM(D26:D29)</f>
        <v>2110250.6399999997</v>
      </c>
      <c r="E25" s="77">
        <f>SUM(E26:E29)</f>
        <v>2091891</v>
      </c>
      <c r="F25" s="77">
        <f>SUM(F26:F29)</f>
        <v>2110250.6399999997</v>
      </c>
      <c r="G25" s="77">
        <f t="shared" si="1"/>
        <v>18359.639999999665</v>
      </c>
    </row>
    <row r="26" spans="1:7" ht="15">
      <c r="A26" s="34" t="s">
        <v>201</v>
      </c>
      <c r="B26" s="34" t="s">
        <v>172</v>
      </c>
      <c r="C26" s="293" t="s">
        <v>379</v>
      </c>
      <c r="D26" s="295">
        <v>48187.84</v>
      </c>
      <c r="E26" s="295">
        <v>47731.01</v>
      </c>
      <c r="F26" s="295">
        <f>D26</f>
        <v>48187.84</v>
      </c>
      <c r="G26" s="84">
        <f t="shared" si="1"/>
        <v>456.82999999999447</v>
      </c>
    </row>
    <row r="27" spans="1:7" ht="15">
      <c r="A27" s="34" t="s">
        <v>202</v>
      </c>
      <c r="B27" s="34" t="s">
        <v>142</v>
      </c>
      <c r="C27" s="293" t="s">
        <v>382</v>
      </c>
      <c r="D27" s="295">
        <v>704699.37</v>
      </c>
      <c r="E27" s="295">
        <v>695361.71</v>
      </c>
      <c r="F27" s="295">
        <f>D27</f>
        <v>704699.37</v>
      </c>
      <c r="G27" s="84">
        <f t="shared" si="1"/>
        <v>9337.660000000033</v>
      </c>
    </row>
    <row r="28" spans="1:7" ht="15">
      <c r="A28" s="34" t="s">
        <v>203</v>
      </c>
      <c r="B28" s="141" t="s">
        <v>143</v>
      </c>
      <c r="C28" s="145">
        <v>0</v>
      </c>
      <c r="D28" s="295">
        <v>0</v>
      </c>
      <c r="E28" s="295">
        <v>0</v>
      </c>
      <c r="F28" s="295">
        <f>D28</f>
        <v>0</v>
      </c>
      <c r="G28" s="84">
        <f t="shared" si="1"/>
        <v>0</v>
      </c>
    </row>
    <row r="29" spans="1:7" ht="15">
      <c r="A29" s="34" t="s">
        <v>204</v>
      </c>
      <c r="B29" s="141" t="s">
        <v>43</v>
      </c>
      <c r="C29" s="293" t="s">
        <v>380</v>
      </c>
      <c r="D29" s="295">
        <v>1357363.43</v>
      </c>
      <c r="E29" s="295">
        <v>1348798.28</v>
      </c>
      <c r="F29" s="295">
        <f>D29</f>
        <v>1357363.43</v>
      </c>
      <c r="G29" s="84">
        <f t="shared" si="1"/>
        <v>8565.149999999907</v>
      </c>
    </row>
    <row r="30" spans="1:7" ht="5.25" customHeight="1">
      <c r="A30" s="170"/>
      <c r="B30" s="170"/>
      <c r="C30" s="171"/>
      <c r="D30" s="172"/>
      <c r="E30" s="172"/>
      <c r="F30" s="172"/>
      <c r="G30" s="172"/>
    </row>
    <row r="31" spans="1:7" ht="17.25" customHeight="1" thickBot="1">
      <c r="A31" s="363" t="s">
        <v>378</v>
      </c>
      <c r="B31" s="364"/>
      <c r="C31" s="364"/>
      <c r="D31" s="365"/>
      <c r="E31" s="365"/>
      <c r="F31" s="365"/>
      <c r="G31" s="172"/>
    </row>
    <row r="32" spans="1:9" s="67" customFormat="1" ht="15.75" thickBot="1">
      <c r="A32" s="378" t="s">
        <v>383</v>
      </c>
      <c r="B32" s="379"/>
      <c r="C32" s="379"/>
      <c r="D32" s="65">
        <v>596669.15</v>
      </c>
      <c r="E32" s="164"/>
      <c r="F32" s="164"/>
      <c r="G32" s="164"/>
      <c r="H32" s="62"/>
      <c r="I32" s="62"/>
    </row>
    <row r="33" spans="1:9" s="67" customFormat="1" ht="6" customHeight="1" thickBot="1">
      <c r="A33" s="68"/>
      <c r="B33" s="68"/>
      <c r="C33" s="165"/>
      <c r="D33" s="164"/>
      <c r="E33" s="164"/>
      <c r="F33" s="164"/>
      <c r="G33" s="164"/>
      <c r="H33" s="62"/>
      <c r="I33" s="62"/>
    </row>
    <row r="34" spans="1:9" s="67" customFormat="1" ht="15.75" thickBot="1">
      <c r="A34" s="63" t="s">
        <v>386</v>
      </c>
      <c r="B34" s="64"/>
      <c r="C34" s="166"/>
      <c r="D34" s="167"/>
      <c r="E34" s="167"/>
      <c r="F34" s="167"/>
      <c r="G34" s="163">
        <f>G14</f>
        <v>34925.52</v>
      </c>
      <c r="H34" s="62"/>
      <c r="I34" s="62"/>
    </row>
    <row r="35" spans="1:13" s="67" customFormat="1" ht="15.75" thickBot="1">
      <c r="A35" s="63" t="s">
        <v>387</v>
      </c>
      <c r="B35" s="64"/>
      <c r="C35" s="166"/>
      <c r="D35" s="167"/>
      <c r="E35" s="167"/>
      <c r="F35" s="167"/>
      <c r="G35" s="163">
        <f>G15+E24-F24</f>
        <v>337507.85839999997</v>
      </c>
      <c r="H35" s="62"/>
      <c r="I35" s="62"/>
      <c r="M35" s="147"/>
    </row>
    <row r="36" spans="1:9" s="67" customFormat="1" ht="15">
      <c r="A36" s="68"/>
      <c r="B36" s="68"/>
      <c r="C36" s="165"/>
      <c r="D36" s="164"/>
      <c r="E36" s="164"/>
      <c r="F36" s="164"/>
      <c r="G36" s="164"/>
      <c r="H36" s="62"/>
      <c r="I36" s="62"/>
    </row>
    <row r="37" spans="1:9" ht="28.5" customHeight="1">
      <c r="A37" s="367" t="s">
        <v>44</v>
      </c>
      <c r="B37" s="367"/>
      <c r="C37" s="367"/>
      <c r="D37" s="367"/>
      <c r="E37" s="367"/>
      <c r="F37" s="367"/>
      <c r="G37" s="367"/>
      <c r="H37" s="367"/>
      <c r="I37" s="367"/>
    </row>
    <row r="38" ht="6.75" customHeight="1"/>
    <row r="39" spans="1:7" s="173" customFormat="1" ht="28.5" customHeight="1">
      <c r="A39" s="105" t="s">
        <v>11</v>
      </c>
      <c r="B39" s="394" t="s">
        <v>45</v>
      </c>
      <c r="C39" s="395"/>
      <c r="D39" s="105" t="s">
        <v>170</v>
      </c>
      <c r="E39" s="105" t="s">
        <v>169</v>
      </c>
      <c r="F39" s="390" t="s">
        <v>46</v>
      </c>
      <c r="G39" s="391"/>
    </row>
    <row r="40" spans="1:7" s="115" customFormat="1" ht="12.75" customHeight="1">
      <c r="A40" s="109" t="s">
        <v>47</v>
      </c>
      <c r="B40" s="396" t="s">
        <v>114</v>
      </c>
      <c r="C40" s="397"/>
      <c r="D40" s="174"/>
      <c r="E40" s="174"/>
      <c r="F40" s="392">
        <f>SUM(F41:G47)</f>
        <v>54734.133400000006</v>
      </c>
      <c r="G40" s="393"/>
    </row>
    <row r="41" spans="1:7" s="115" customFormat="1" ht="12.75" customHeight="1">
      <c r="A41" s="34" t="s">
        <v>16</v>
      </c>
      <c r="B41" s="375" t="s">
        <v>502</v>
      </c>
      <c r="C41" s="387"/>
      <c r="D41" s="355"/>
      <c r="E41" s="153" t="s">
        <v>258</v>
      </c>
      <c r="F41" s="385">
        <v>6091.4</v>
      </c>
      <c r="G41" s="386"/>
    </row>
    <row r="42" spans="1:7" s="115" customFormat="1" ht="12.75" customHeight="1">
      <c r="A42" s="34" t="s">
        <v>18</v>
      </c>
      <c r="B42" s="375" t="s">
        <v>503</v>
      </c>
      <c r="C42" s="387"/>
      <c r="D42" s="153" t="s">
        <v>248</v>
      </c>
      <c r="E42" s="153">
        <v>6</v>
      </c>
      <c r="F42" s="385">
        <v>3162</v>
      </c>
      <c r="G42" s="386"/>
    </row>
    <row r="43" spans="1:7" s="115" customFormat="1" ht="12.75" customHeight="1">
      <c r="A43" s="34" t="s">
        <v>20</v>
      </c>
      <c r="B43" s="369" t="s">
        <v>509</v>
      </c>
      <c r="C43" s="370"/>
      <c r="D43" s="153" t="s">
        <v>248</v>
      </c>
      <c r="E43" s="153">
        <v>1</v>
      </c>
      <c r="F43" s="385">
        <v>800</v>
      </c>
      <c r="G43" s="386"/>
    </row>
    <row r="44" spans="1:7" s="115" customFormat="1" ht="12.75" customHeight="1">
      <c r="A44" s="34" t="s">
        <v>22</v>
      </c>
      <c r="B44" s="369" t="s">
        <v>510</v>
      </c>
      <c r="C44" s="370"/>
      <c r="D44" s="153" t="s">
        <v>265</v>
      </c>
      <c r="E44" s="153">
        <v>0.11</v>
      </c>
      <c r="F44" s="385">
        <v>28423.39</v>
      </c>
      <c r="G44" s="386"/>
    </row>
    <row r="45" spans="1:7" s="115" customFormat="1" ht="12.75" customHeight="1">
      <c r="A45" s="34" t="s">
        <v>24</v>
      </c>
      <c r="B45" s="369" t="s">
        <v>511</v>
      </c>
      <c r="C45" s="370"/>
      <c r="D45" s="153" t="s">
        <v>240</v>
      </c>
      <c r="E45" s="176">
        <v>0.04</v>
      </c>
      <c r="F45" s="385">
        <v>5226.3</v>
      </c>
      <c r="G45" s="386"/>
    </row>
    <row r="46" spans="1:7" s="115" customFormat="1" ht="12.75" customHeight="1">
      <c r="A46" s="34" t="s">
        <v>106</v>
      </c>
      <c r="B46" s="369" t="s">
        <v>840</v>
      </c>
      <c r="C46" s="370"/>
      <c r="D46" s="153"/>
      <c r="E46" s="176"/>
      <c r="F46" s="385">
        <v>10000</v>
      </c>
      <c r="G46" s="386"/>
    </row>
    <row r="47" spans="1:7" s="115" customFormat="1" ht="12.75" customHeight="1">
      <c r="A47" s="34" t="s">
        <v>107</v>
      </c>
      <c r="B47" s="383" t="s">
        <v>198</v>
      </c>
      <c r="C47" s="384"/>
      <c r="D47" s="175"/>
      <c r="E47" s="175"/>
      <c r="F47" s="385">
        <f>E24*1%</f>
        <v>1031.0434</v>
      </c>
      <c r="G47" s="386"/>
    </row>
    <row r="48" spans="3:7" s="67" customFormat="1" ht="15">
      <c r="C48" s="147"/>
      <c r="D48" s="147"/>
      <c r="E48" s="147"/>
      <c r="F48" s="147"/>
      <c r="G48" s="147"/>
    </row>
    <row r="49" spans="1:7" s="67" customFormat="1" ht="15">
      <c r="A49" s="67" t="s">
        <v>55</v>
      </c>
      <c r="C49" s="147" t="s">
        <v>49</v>
      </c>
      <c r="D49" s="147"/>
      <c r="E49" s="147"/>
      <c r="F49" s="147" t="s">
        <v>93</v>
      </c>
      <c r="G49" s="147"/>
    </row>
    <row r="50" spans="3:7" s="67" customFormat="1" ht="15">
      <c r="C50" s="147"/>
      <c r="D50" s="147"/>
      <c r="E50" s="147"/>
      <c r="F50" s="162" t="s">
        <v>508</v>
      </c>
      <c r="G50" s="147"/>
    </row>
    <row r="51" spans="1:7" s="67" customFormat="1" ht="15">
      <c r="A51" s="67" t="s">
        <v>50</v>
      </c>
      <c r="C51" s="147"/>
      <c r="D51" s="147"/>
      <c r="E51" s="147"/>
      <c r="F51" s="147"/>
      <c r="G51" s="147"/>
    </row>
    <row r="52" spans="3:7" s="67" customFormat="1" ht="11.25" customHeight="1">
      <c r="C52" s="178" t="s">
        <v>51</v>
      </c>
      <c r="D52" s="147"/>
      <c r="E52" s="178"/>
      <c r="F52" s="178"/>
      <c r="G52" s="178"/>
    </row>
    <row r="53" spans="3:7" s="67" customFormat="1" ht="15">
      <c r="C53" s="147"/>
      <c r="D53" s="147"/>
      <c r="E53" s="147"/>
      <c r="F53" s="147"/>
      <c r="G53" s="147"/>
    </row>
    <row r="54" spans="3:7" s="67" customFormat="1" ht="15">
      <c r="C54" s="147"/>
      <c r="D54" s="147"/>
      <c r="E54" s="147"/>
      <c r="F54" s="147"/>
      <c r="G54" s="147"/>
    </row>
  </sheetData>
  <sheetProtection/>
  <mergeCells count="28">
    <mergeCell ref="B46:C46"/>
    <mergeCell ref="A11:I11"/>
    <mergeCell ref="B41:C41"/>
    <mergeCell ref="A37:I37"/>
    <mergeCell ref="F40:G40"/>
    <mergeCell ref="A32:C32"/>
    <mergeCell ref="B39:C39"/>
    <mergeCell ref="B40:C40"/>
    <mergeCell ref="F44:G44"/>
    <mergeCell ref="F45:G45"/>
    <mergeCell ref="A1:I1"/>
    <mergeCell ref="A2:I2"/>
    <mergeCell ref="A5:I5"/>
    <mergeCell ref="A10:I10"/>
    <mergeCell ref="A3:K3"/>
    <mergeCell ref="F41:G41"/>
    <mergeCell ref="F39:G39"/>
    <mergeCell ref="A12:I12"/>
    <mergeCell ref="A31:F31"/>
    <mergeCell ref="B47:C47"/>
    <mergeCell ref="F47:G47"/>
    <mergeCell ref="F42:G42"/>
    <mergeCell ref="F43:G43"/>
    <mergeCell ref="B42:C42"/>
    <mergeCell ref="B43:C43"/>
    <mergeCell ref="B44:C44"/>
    <mergeCell ref="F46:G46"/>
    <mergeCell ref="B45:C45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7"/>
  <sheetViews>
    <sheetView zoomScalePageLayoutView="0" workbookViewId="0" topLeftCell="A25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9.28125" style="35" customWidth="1"/>
    <col min="3" max="3" width="12.8515625" style="35" customWidth="1"/>
    <col min="4" max="4" width="13.140625" style="35" bestFit="1" customWidth="1"/>
    <col min="5" max="5" width="13.140625" style="35" customWidth="1"/>
    <col min="6" max="6" width="13.8515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8.2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6.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7.5" customHeight="1"/>
    <row r="7" spans="1:6" s="67" customFormat="1" ht="16.5" customHeight="1">
      <c r="A7" s="67" t="s">
        <v>2</v>
      </c>
      <c r="F7" s="128" t="s">
        <v>72</v>
      </c>
    </row>
    <row r="8" spans="1:11" s="67" customFormat="1" ht="15">
      <c r="A8" s="67" t="s">
        <v>3</v>
      </c>
      <c r="F8" s="299" t="s">
        <v>73</v>
      </c>
      <c r="I8" s="204">
        <v>1412.2</v>
      </c>
      <c r="J8" s="317">
        <v>2724.3</v>
      </c>
      <c r="K8" s="204">
        <f>I8+J8</f>
        <v>4136.5</v>
      </c>
    </row>
    <row r="9" s="67" customFormat="1" ht="7.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'[1]Калинина 12'!$G$37</f>
        <v>-154273.36000000002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'[1]Калинина 12'!$G$38</f>
        <v>-934031.6133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15">
      <c r="A18" s="75" t="s">
        <v>14</v>
      </c>
      <c r="B18" s="41" t="s">
        <v>15</v>
      </c>
      <c r="C18" s="137">
        <f>C19+C20+C21+C22+C23</f>
        <v>13.379999999999999</v>
      </c>
      <c r="D18" s="76">
        <v>447870.81</v>
      </c>
      <c r="E18" s="76">
        <v>413810.04</v>
      </c>
      <c r="F18" s="76">
        <f aca="true" t="shared" si="0" ref="F18:F26">D18</f>
        <v>447870.81</v>
      </c>
      <c r="G18" s="77">
        <f aca="true" t="shared" si="1" ref="G18:G23">D18-E18</f>
        <v>34060.77000000002</v>
      </c>
      <c r="H18" s="147">
        <f aca="true" t="shared" si="2" ref="H18:H23">C18</f>
        <v>13.379999999999999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115817.11529147983</v>
      </c>
      <c r="E19" s="83">
        <f>E18*I19</f>
        <v>107009.1732735426</v>
      </c>
      <c r="F19" s="83">
        <f t="shared" si="0"/>
        <v>115817.11529147983</v>
      </c>
      <c r="G19" s="84">
        <f t="shared" si="1"/>
        <v>8807.942017937225</v>
      </c>
      <c r="H19" s="147">
        <f t="shared" si="2"/>
        <v>3.46</v>
      </c>
      <c r="I19" s="67">
        <f>H19/H18</f>
        <v>0.2585949177877429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56569.63145739911</v>
      </c>
      <c r="E20" s="83">
        <f>E18*I20</f>
        <v>52267.486367713005</v>
      </c>
      <c r="F20" s="83">
        <f t="shared" si="0"/>
        <v>56569.63145739911</v>
      </c>
      <c r="G20" s="84">
        <f t="shared" si="1"/>
        <v>4302.145089686106</v>
      </c>
      <c r="H20" s="147">
        <f t="shared" si="2"/>
        <v>1.69</v>
      </c>
      <c r="I20" s="67">
        <f>H20/H18</f>
        <v>0.12630792227204785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56569.63145739911</v>
      </c>
      <c r="E21" s="83">
        <f>E18*I21</f>
        <v>52267.486367713005</v>
      </c>
      <c r="F21" s="83">
        <f t="shared" si="0"/>
        <v>56569.63145739911</v>
      </c>
      <c r="G21" s="84">
        <f t="shared" si="1"/>
        <v>4302.145089686106</v>
      </c>
      <c r="H21" s="147">
        <f t="shared" si="2"/>
        <v>1.69</v>
      </c>
      <c r="I21" s="67">
        <f>H21/H18</f>
        <v>0.12630792227204785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101758.39031390136</v>
      </c>
      <c r="E22" s="83">
        <f>E18*I22</f>
        <v>94019.6204484305</v>
      </c>
      <c r="F22" s="83">
        <f t="shared" si="0"/>
        <v>101758.39031390136</v>
      </c>
      <c r="G22" s="84">
        <f t="shared" si="1"/>
        <v>7738.769865470851</v>
      </c>
      <c r="H22" s="147">
        <f t="shared" si="2"/>
        <v>3.04</v>
      </c>
      <c r="I22" s="67">
        <f>H22/H18</f>
        <v>0.22720478325859494</v>
      </c>
    </row>
    <row r="23" spans="1:9" s="67" customFormat="1" ht="15">
      <c r="A23" s="81" t="s">
        <v>24</v>
      </c>
      <c r="B23" s="34" t="s">
        <v>148</v>
      </c>
      <c r="C23" s="99">
        <v>3.5</v>
      </c>
      <c r="D23" s="83">
        <f>D18*I23</f>
        <v>117156.04147982062</v>
      </c>
      <c r="E23" s="83">
        <f>E18*I23</f>
        <v>108246.27354260089</v>
      </c>
      <c r="F23" s="83">
        <f>D23</f>
        <v>117156.04147982062</v>
      </c>
      <c r="G23" s="84">
        <f t="shared" si="1"/>
        <v>8909.76793721973</v>
      </c>
      <c r="H23" s="147">
        <f t="shared" si="2"/>
        <v>3.5</v>
      </c>
      <c r="I23" s="67">
        <f>H23/H18</f>
        <v>0.2615844544095665</v>
      </c>
    </row>
    <row r="24" spans="1:7" ht="15">
      <c r="A24" s="41" t="s">
        <v>25</v>
      </c>
      <c r="B24" s="142" t="s">
        <v>141</v>
      </c>
      <c r="C24" s="97">
        <v>0</v>
      </c>
      <c r="D24" s="77">
        <v>0</v>
      </c>
      <c r="E24" s="77">
        <v>1259.71</v>
      </c>
      <c r="F24" s="77">
        <v>0</v>
      </c>
      <c r="G24" s="77">
        <f aca="true" t="shared" si="3" ref="G24:G33">D24-E24</f>
        <v>-1259.71</v>
      </c>
    </row>
    <row r="25" spans="1:7" ht="15">
      <c r="A25" s="41" t="s">
        <v>27</v>
      </c>
      <c r="B25" s="142" t="s">
        <v>28</v>
      </c>
      <c r="C25" s="97">
        <v>0</v>
      </c>
      <c r="D25" s="77">
        <v>0</v>
      </c>
      <c r="E25" s="77">
        <v>0</v>
      </c>
      <c r="F25" s="77">
        <f t="shared" si="0"/>
        <v>0</v>
      </c>
      <c r="G25" s="77">
        <f t="shared" si="3"/>
        <v>0</v>
      </c>
    </row>
    <row r="26" spans="1:7" ht="15">
      <c r="A26" s="41" t="s">
        <v>29</v>
      </c>
      <c r="B26" s="142" t="s">
        <v>168</v>
      </c>
      <c r="C26" s="143" t="s">
        <v>395</v>
      </c>
      <c r="D26" s="77">
        <v>0</v>
      </c>
      <c r="E26" s="77">
        <v>0</v>
      </c>
      <c r="F26" s="77">
        <f t="shared" si="0"/>
        <v>0</v>
      </c>
      <c r="G26" s="77">
        <f t="shared" si="3"/>
        <v>0</v>
      </c>
    </row>
    <row r="27" spans="1:7" ht="15">
      <c r="A27" s="41" t="s">
        <v>31</v>
      </c>
      <c r="B27" s="142" t="s">
        <v>119</v>
      </c>
      <c r="C27" s="97">
        <v>1.86</v>
      </c>
      <c r="D27" s="77">
        <v>60152.56</v>
      </c>
      <c r="E27" s="77">
        <v>58085.17</v>
      </c>
      <c r="F27" s="87">
        <f>F43</f>
        <v>58448.9317</v>
      </c>
      <c r="G27" s="77">
        <f t="shared" si="3"/>
        <v>2067.3899999999994</v>
      </c>
    </row>
    <row r="28" spans="1:7" ht="15">
      <c r="A28" s="41" t="s">
        <v>33</v>
      </c>
      <c r="B28" s="136" t="s">
        <v>34</v>
      </c>
      <c r="C28" s="46">
        <v>0</v>
      </c>
      <c r="D28" s="77">
        <v>0</v>
      </c>
      <c r="E28" s="77">
        <v>3.53</v>
      </c>
      <c r="F28" s="87">
        <v>0</v>
      </c>
      <c r="G28" s="77">
        <f t="shared" si="3"/>
        <v>-3.53</v>
      </c>
    </row>
    <row r="29" spans="1:7" ht="15">
      <c r="A29" s="41" t="s">
        <v>35</v>
      </c>
      <c r="B29" s="136" t="s">
        <v>36</v>
      </c>
      <c r="C29" s="97"/>
      <c r="D29" s="77">
        <f>SUM(D30:D33)</f>
        <v>1251217.41</v>
      </c>
      <c r="E29" s="77">
        <f>SUM(E30:E33)</f>
        <v>1207101.94</v>
      </c>
      <c r="F29" s="77">
        <f>SUM(F30:F33)</f>
        <v>1251217.41</v>
      </c>
      <c r="G29" s="77">
        <f t="shared" si="3"/>
        <v>44115.46999999997</v>
      </c>
    </row>
    <row r="30" spans="1:7" ht="15">
      <c r="A30" s="34" t="s">
        <v>37</v>
      </c>
      <c r="B30" s="34" t="s">
        <v>172</v>
      </c>
      <c r="C30" s="293" t="s">
        <v>379</v>
      </c>
      <c r="D30" s="84">
        <v>21607.04</v>
      </c>
      <c r="E30" s="84">
        <v>21598.23</v>
      </c>
      <c r="F30" s="84">
        <f>D30</f>
        <v>21607.04</v>
      </c>
      <c r="G30" s="84">
        <f t="shared" si="3"/>
        <v>8.81000000000131</v>
      </c>
    </row>
    <row r="31" spans="1:7" ht="15">
      <c r="A31" s="34" t="s">
        <v>39</v>
      </c>
      <c r="B31" s="34" t="s">
        <v>142</v>
      </c>
      <c r="C31" s="293" t="s">
        <v>382</v>
      </c>
      <c r="D31" s="84">
        <v>329837.24</v>
      </c>
      <c r="E31" s="84">
        <v>325076.35</v>
      </c>
      <c r="F31" s="84">
        <f>D31</f>
        <v>329837.24</v>
      </c>
      <c r="G31" s="84">
        <f t="shared" si="3"/>
        <v>4760.890000000014</v>
      </c>
    </row>
    <row r="32" spans="1:7" ht="15">
      <c r="A32" s="34" t="s">
        <v>42</v>
      </c>
      <c r="B32" s="34" t="s">
        <v>40</v>
      </c>
      <c r="C32" s="145">
        <v>0</v>
      </c>
      <c r="D32" s="84">
        <v>0</v>
      </c>
      <c r="E32" s="84">
        <v>0</v>
      </c>
      <c r="F32" s="84">
        <f>D32</f>
        <v>0</v>
      </c>
      <c r="G32" s="84">
        <f t="shared" si="3"/>
        <v>0</v>
      </c>
    </row>
    <row r="33" spans="1:9" ht="15">
      <c r="A33" s="34" t="s">
        <v>41</v>
      </c>
      <c r="B33" s="34" t="s">
        <v>43</v>
      </c>
      <c r="C33" s="293" t="s">
        <v>380</v>
      </c>
      <c r="D33" s="84">
        <v>899773.13</v>
      </c>
      <c r="E33" s="84">
        <v>860427.36</v>
      </c>
      <c r="F33" s="84">
        <f>D33</f>
        <v>899773.13</v>
      </c>
      <c r="G33" s="84">
        <f t="shared" si="3"/>
        <v>39345.77000000002</v>
      </c>
      <c r="H33" s="101"/>
      <c r="I33" s="101"/>
    </row>
    <row r="34" spans="1:9" ht="15.75" thickBot="1">
      <c r="A34" s="363" t="s">
        <v>378</v>
      </c>
      <c r="B34" s="364"/>
      <c r="C34" s="364"/>
      <c r="D34" s="365"/>
      <c r="E34" s="365"/>
      <c r="F34" s="365"/>
      <c r="G34" s="172"/>
      <c r="H34" s="101"/>
      <c r="I34" s="101"/>
    </row>
    <row r="35" spans="1:10" s="102" customFormat="1" ht="14.25" thickBot="1">
      <c r="A35" s="378" t="s">
        <v>383</v>
      </c>
      <c r="B35" s="379"/>
      <c r="C35" s="379"/>
      <c r="D35" s="65">
        <v>700023.86</v>
      </c>
      <c r="E35" s="66"/>
      <c r="F35" s="66"/>
      <c r="G35" s="66"/>
      <c r="H35" s="62"/>
      <c r="I35" s="62"/>
      <c r="J35" s="101"/>
    </row>
    <row r="36" spans="1:9" s="67" customFormat="1" ht="15.75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386</v>
      </c>
      <c r="B37" s="64"/>
      <c r="C37" s="64"/>
      <c r="D37" s="69"/>
      <c r="E37" s="70"/>
      <c r="F37" s="70"/>
      <c r="G37" s="146">
        <f>G14+E28-F28</f>
        <v>-154269.83000000002</v>
      </c>
      <c r="H37" s="62"/>
      <c r="I37" s="62"/>
    </row>
    <row r="38" spans="1:9" s="67" customFormat="1" ht="15.75" thickBot="1">
      <c r="A38" s="63" t="s">
        <v>387</v>
      </c>
      <c r="B38" s="64"/>
      <c r="C38" s="64"/>
      <c r="D38" s="69"/>
      <c r="E38" s="70"/>
      <c r="F38" s="70"/>
      <c r="G38" s="146">
        <f>G15+E27-F27</f>
        <v>-934395.3749999999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200"/>
      <c r="I39" s="200"/>
    </row>
    <row r="40" spans="1:9" s="67" customFormat="1" ht="36" customHeight="1">
      <c r="A40" s="434" t="s">
        <v>44</v>
      </c>
      <c r="B40" s="435"/>
      <c r="C40" s="435"/>
      <c r="D40" s="435"/>
      <c r="E40" s="435"/>
      <c r="F40" s="435"/>
      <c r="G40" s="435"/>
      <c r="H40" s="201"/>
      <c r="I40" s="201"/>
    </row>
    <row r="41" ht="13.5" customHeight="1"/>
    <row r="42" spans="1:9" ht="28.5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5"/>
      <c r="H42" s="173"/>
      <c r="I42" s="173"/>
    </row>
    <row r="43" spans="1:9" s="173" customFormat="1" ht="15">
      <c r="A43" s="109" t="s">
        <v>47</v>
      </c>
      <c r="B43" s="396" t="s">
        <v>114</v>
      </c>
      <c r="C43" s="399"/>
      <c r="D43" s="111"/>
      <c r="E43" s="111"/>
      <c r="F43" s="411">
        <f>SUM(F44:L50)</f>
        <v>58448.9317</v>
      </c>
      <c r="G43" s="404"/>
      <c r="H43" s="115"/>
      <c r="I43" s="115"/>
    </row>
    <row r="44" spans="1:7" ht="12.75" customHeight="1">
      <c r="A44" s="34" t="s">
        <v>16</v>
      </c>
      <c r="B44" s="369" t="s">
        <v>543</v>
      </c>
      <c r="C44" s="415"/>
      <c r="D44" s="119" t="s">
        <v>240</v>
      </c>
      <c r="E44" s="154">
        <v>0.01</v>
      </c>
      <c r="F44" s="398">
        <v>4124.95</v>
      </c>
      <c r="G44" s="398"/>
    </row>
    <row r="45" spans="1:7" ht="12.75" customHeight="1">
      <c r="A45" s="34" t="s">
        <v>18</v>
      </c>
      <c r="B45" s="117" t="s">
        <v>544</v>
      </c>
      <c r="C45" s="356"/>
      <c r="D45" s="119" t="s">
        <v>241</v>
      </c>
      <c r="E45" s="154">
        <v>0.02</v>
      </c>
      <c r="F45" s="398">
        <v>1566.33</v>
      </c>
      <c r="G45" s="398"/>
    </row>
    <row r="46" spans="1:7" ht="12.75" customHeight="1">
      <c r="A46" s="34" t="s">
        <v>20</v>
      </c>
      <c r="B46" s="117" t="s">
        <v>175</v>
      </c>
      <c r="C46" s="356"/>
      <c r="D46" s="119" t="s">
        <v>265</v>
      </c>
      <c r="E46" s="154">
        <v>0.03</v>
      </c>
      <c r="F46" s="398">
        <v>9744.98</v>
      </c>
      <c r="G46" s="398"/>
    </row>
    <row r="47" spans="1:7" ht="12.75" customHeight="1">
      <c r="A47" s="34" t="s">
        <v>22</v>
      </c>
      <c r="B47" s="117" t="s">
        <v>545</v>
      </c>
      <c r="C47" s="356"/>
      <c r="D47" s="119" t="s">
        <v>265</v>
      </c>
      <c r="E47" s="154">
        <v>0.009</v>
      </c>
      <c r="F47" s="398">
        <v>4431.82</v>
      </c>
      <c r="G47" s="398"/>
    </row>
    <row r="48" spans="1:7" ht="12.75" customHeight="1">
      <c r="A48" s="34" t="s">
        <v>24</v>
      </c>
      <c r="B48" s="117" t="s">
        <v>792</v>
      </c>
      <c r="C48" s="356"/>
      <c r="D48" s="119"/>
      <c r="E48" s="154"/>
      <c r="F48" s="398">
        <v>26000</v>
      </c>
      <c r="G48" s="398"/>
    </row>
    <row r="49" spans="1:7" ht="12.75" customHeight="1">
      <c r="A49" s="34" t="s">
        <v>106</v>
      </c>
      <c r="B49" s="117" t="s">
        <v>793</v>
      </c>
      <c r="C49" s="356"/>
      <c r="D49" s="119"/>
      <c r="E49" s="154"/>
      <c r="F49" s="398">
        <v>12000</v>
      </c>
      <c r="G49" s="398"/>
    </row>
    <row r="50" spans="1:7" ht="12.75" customHeight="1">
      <c r="A50" s="34" t="s">
        <v>107</v>
      </c>
      <c r="B50" s="150" t="s">
        <v>198</v>
      </c>
      <c r="C50" s="151"/>
      <c r="D50" s="119"/>
      <c r="E50" s="119"/>
      <c r="F50" s="410">
        <f>E27*1%</f>
        <v>580.8517</v>
      </c>
      <c r="G50" s="410"/>
    </row>
    <row r="51" spans="1:9" ht="12.75" customHeight="1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12.75" customHeight="1">
      <c r="A52" s="67" t="s">
        <v>55</v>
      </c>
      <c r="B52" s="67"/>
      <c r="C52" s="67" t="s">
        <v>49</v>
      </c>
      <c r="D52" s="67"/>
      <c r="E52" s="67"/>
      <c r="F52" s="67" t="s">
        <v>93</v>
      </c>
      <c r="G52" s="67"/>
      <c r="H52" s="67"/>
      <c r="I52" s="67"/>
    </row>
    <row r="53" spans="1:9" ht="15">
      <c r="A53" s="67"/>
      <c r="B53" s="67"/>
      <c r="C53" s="67"/>
      <c r="D53" s="67"/>
      <c r="E53" s="67"/>
      <c r="F53" s="128" t="s">
        <v>516</v>
      </c>
      <c r="G53" s="67"/>
      <c r="H53" s="67"/>
      <c r="I53" s="67"/>
    </row>
    <row r="54" s="67" customFormat="1" ht="15">
      <c r="A54" s="67" t="s">
        <v>50</v>
      </c>
    </row>
    <row r="55" spans="3:7" s="67" customFormat="1" ht="13.5" customHeight="1">
      <c r="C55" s="130" t="s">
        <v>51</v>
      </c>
      <c r="E55" s="130"/>
      <c r="F55" s="130"/>
      <c r="G55" s="130"/>
    </row>
    <row r="56" spans="8:9" s="67" customFormat="1" ht="15">
      <c r="H56" s="35"/>
      <c r="I56" s="35"/>
    </row>
    <row r="57" spans="3:7" s="67" customFormat="1" ht="15">
      <c r="C57" s="130"/>
      <c r="E57" s="130"/>
      <c r="F57" s="130"/>
      <c r="G57" s="130"/>
    </row>
    <row r="58" s="67" customFormat="1" ht="15"/>
    <row r="59" s="67" customFormat="1" ht="15"/>
  </sheetData>
  <sheetProtection/>
  <mergeCells count="22">
    <mergeCell ref="F50:G50"/>
    <mergeCell ref="B44:C44"/>
    <mergeCell ref="F44:G44"/>
    <mergeCell ref="F43:G43"/>
    <mergeCell ref="A35:C35"/>
    <mergeCell ref="B42:C42"/>
    <mergeCell ref="F48:G48"/>
    <mergeCell ref="F49:G49"/>
    <mergeCell ref="F45:G45"/>
    <mergeCell ref="F46:G46"/>
    <mergeCell ref="F47:G47"/>
    <mergeCell ref="A34:F34"/>
    <mergeCell ref="F42:G42"/>
    <mergeCell ref="B43:C43"/>
    <mergeCell ref="A40:G40"/>
    <mergeCell ref="A1:I1"/>
    <mergeCell ref="A2:I2"/>
    <mergeCell ref="A5:I5"/>
    <mergeCell ref="A10:I10"/>
    <mergeCell ref="A3:K3"/>
    <mergeCell ref="A12:I12"/>
    <mergeCell ref="A11:I11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K53"/>
  <sheetViews>
    <sheetView zoomScalePageLayoutView="0" workbookViewId="0" topLeftCell="A34">
      <selection activeCell="G38" sqref="G38"/>
    </sheetView>
  </sheetViews>
  <sheetFormatPr defaultColWidth="9.140625" defaultRowHeight="15" outlineLevelCol="1"/>
  <cols>
    <col min="1" max="1" width="5.00390625" style="35" customWidth="1"/>
    <col min="2" max="2" width="42.28125" style="35" customWidth="1"/>
    <col min="3" max="4" width="12.8515625" style="35" customWidth="1"/>
    <col min="5" max="5" width="13.140625" style="35" bestFit="1" customWidth="1"/>
    <col min="6" max="6" width="15.574218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2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3.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4.5" customHeight="1"/>
    <row r="7" spans="1:6" s="67" customFormat="1" ht="16.5" customHeight="1">
      <c r="A7" s="67" t="s">
        <v>2</v>
      </c>
      <c r="F7" s="128" t="s">
        <v>74</v>
      </c>
    </row>
    <row r="8" spans="1:6" s="67" customFormat="1" ht="15">
      <c r="A8" s="67" t="s">
        <v>3</v>
      </c>
      <c r="F8" s="299" t="s">
        <v>401</v>
      </c>
    </row>
    <row r="9" s="67" customFormat="1" ht="5.2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'[1]Калинина 18'!$G$37</f>
        <v>379052.33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'[1]Калинина 18'!$G$38</f>
        <v>372365.05299999996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29.25">
      <c r="A18" s="75" t="s">
        <v>14</v>
      </c>
      <c r="B18" s="41" t="s">
        <v>15</v>
      </c>
      <c r="C18" s="137">
        <f>C19+C20+C21+C22</f>
        <v>9.879999999999999</v>
      </c>
      <c r="D18" s="76">
        <v>408846.73</v>
      </c>
      <c r="E18" s="76">
        <v>389776.1</v>
      </c>
      <c r="F18" s="76">
        <f>D18</f>
        <v>408846.73</v>
      </c>
      <c r="G18" s="77">
        <f>D18-E18</f>
        <v>19070.630000000005</v>
      </c>
      <c r="H18" s="14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143179.1179959514</v>
      </c>
      <c r="E19" s="83">
        <f>E18*I19</f>
        <v>136500.53704453443</v>
      </c>
      <c r="F19" s="83">
        <f>D19</f>
        <v>143179.1179959514</v>
      </c>
      <c r="G19" s="84">
        <f>D19-E19</f>
        <v>6678.580951416981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69934.30907894736</v>
      </c>
      <c r="E20" s="83">
        <f>E18*I20</f>
        <v>66672.22763157895</v>
      </c>
      <c r="F20" s="83">
        <f>D20</f>
        <v>69934.30907894736</v>
      </c>
      <c r="G20" s="84">
        <f>D20-E20</f>
        <v>3262.081447368415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69934.30907894736</v>
      </c>
      <c r="E21" s="83">
        <f>E18*I21</f>
        <v>66672.22763157895</v>
      </c>
      <c r="F21" s="83">
        <f>D21</f>
        <v>69934.30907894736</v>
      </c>
      <c r="G21" s="84">
        <f>D21-E21</f>
        <v>3262.081447368415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125798.99384615384</v>
      </c>
      <c r="E22" s="83">
        <f>E18*I22</f>
        <v>119931.10769230769</v>
      </c>
      <c r="F22" s="83">
        <f>D22</f>
        <v>125798.99384615384</v>
      </c>
      <c r="G22" s="84">
        <f>D22-E22</f>
        <v>5867.88615384615</v>
      </c>
      <c r="H22" s="147">
        <f>C22</f>
        <v>3.04</v>
      </c>
      <c r="I22" s="67">
        <f>H22/H18</f>
        <v>0.3076923076923077</v>
      </c>
    </row>
    <row r="23" spans="1:7" ht="15">
      <c r="A23" s="41" t="s">
        <v>25</v>
      </c>
      <c r="B23" s="142" t="s">
        <v>141</v>
      </c>
      <c r="C23" s="97">
        <v>0</v>
      </c>
      <c r="D23" s="77">
        <v>0</v>
      </c>
      <c r="E23" s="77">
        <v>0</v>
      </c>
      <c r="F23" s="77">
        <v>0</v>
      </c>
      <c r="G23" s="77">
        <f aca="true" t="shared" si="0" ref="G23:G33">D23-E23</f>
        <v>0</v>
      </c>
    </row>
    <row r="24" spans="1:7" ht="1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2" t="s">
        <v>168</v>
      </c>
      <c r="C25" s="143" t="s">
        <v>394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7" ht="15">
      <c r="A26" s="41" t="s">
        <v>31</v>
      </c>
      <c r="B26" s="142" t="s">
        <v>119</v>
      </c>
      <c r="C26" s="97">
        <v>1.86</v>
      </c>
      <c r="D26" s="77">
        <v>74361.84</v>
      </c>
      <c r="E26" s="77">
        <v>73169.41</v>
      </c>
      <c r="F26" s="87">
        <f>F43</f>
        <v>28425.384100000003</v>
      </c>
      <c r="G26" s="77">
        <f t="shared" si="0"/>
        <v>1192.429999999993</v>
      </c>
    </row>
    <row r="27" spans="1:7" ht="15">
      <c r="A27" s="41" t="s">
        <v>33</v>
      </c>
      <c r="B27" s="136" t="s">
        <v>34</v>
      </c>
      <c r="C27" s="46">
        <v>0</v>
      </c>
      <c r="D27" s="77">
        <v>0</v>
      </c>
      <c r="E27" s="77">
        <v>198.44</v>
      </c>
      <c r="F27" s="202">
        <v>0</v>
      </c>
      <c r="G27" s="77">
        <f t="shared" si="0"/>
        <v>-198.44</v>
      </c>
    </row>
    <row r="28" spans="1:7" ht="15">
      <c r="A28" s="41" t="s">
        <v>35</v>
      </c>
      <c r="B28" s="136" t="s">
        <v>36</v>
      </c>
      <c r="C28" s="97"/>
      <c r="D28" s="77">
        <f>SUM(D29:D32)</f>
        <v>1735399.39</v>
      </c>
      <c r="E28" s="77">
        <f>SUM(E29:E32)</f>
        <v>1720070.63</v>
      </c>
      <c r="F28" s="77">
        <f>SUM(F29:F32)</f>
        <v>1735399.39</v>
      </c>
      <c r="G28" s="77">
        <f t="shared" si="0"/>
        <v>15328.76000000001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8137.62</v>
      </c>
      <c r="E29" s="84">
        <v>7613.46</v>
      </c>
      <c r="F29" s="84">
        <f>D29</f>
        <v>8137.62</v>
      </c>
      <c r="G29" s="84">
        <f t="shared" si="0"/>
        <v>524.1599999999999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530019.6</v>
      </c>
      <c r="E30" s="84">
        <v>533761.71</v>
      </c>
      <c r="F30" s="84">
        <f>D30</f>
        <v>530019.6</v>
      </c>
      <c r="G30" s="84">
        <f t="shared" si="0"/>
        <v>-3742.109999999986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4">
        <f>D31</f>
        <v>0</v>
      </c>
      <c r="G31" s="84">
        <f t="shared" si="0"/>
        <v>0</v>
      </c>
    </row>
    <row r="32" spans="1:9" ht="15">
      <c r="A32" s="34" t="s">
        <v>41</v>
      </c>
      <c r="B32" s="34" t="s">
        <v>43</v>
      </c>
      <c r="C32" s="293" t="s">
        <v>380</v>
      </c>
      <c r="D32" s="84">
        <v>1197242.17</v>
      </c>
      <c r="E32" s="84">
        <v>1178695.46</v>
      </c>
      <c r="F32" s="84">
        <f>D32</f>
        <v>1197242.17</v>
      </c>
      <c r="G32" s="84">
        <f t="shared" si="0"/>
        <v>18546.709999999963</v>
      </c>
      <c r="H32" s="101"/>
      <c r="I32" s="101"/>
    </row>
    <row r="33" spans="1:9" ht="15">
      <c r="A33" s="194" t="s">
        <v>345</v>
      </c>
      <c r="B33" s="344" t="s">
        <v>350</v>
      </c>
      <c r="C33" s="293"/>
      <c r="D33" s="295">
        <f>3000+4800+3600+3000</f>
        <v>14400</v>
      </c>
      <c r="E33" s="295">
        <f>3000+4780+3600+3000</f>
        <v>14380</v>
      </c>
      <c r="F33" s="326"/>
      <c r="G33" s="295">
        <f t="shared" si="0"/>
        <v>20</v>
      </c>
      <c r="H33" s="101"/>
      <c r="I33" s="101"/>
    </row>
    <row r="34" spans="1:9" ht="15.75" thickBot="1">
      <c r="A34" s="363" t="s">
        <v>378</v>
      </c>
      <c r="B34" s="364"/>
      <c r="C34" s="364"/>
      <c r="D34" s="365"/>
      <c r="E34" s="365"/>
      <c r="F34" s="365"/>
      <c r="G34" s="172"/>
      <c r="H34" s="101"/>
      <c r="I34" s="101"/>
    </row>
    <row r="35" spans="1:10" s="102" customFormat="1" ht="14.25" thickBot="1">
      <c r="A35" s="378" t="s">
        <v>383</v>
      </c>
      <c r="B35" s="379"/>
      <c r="C35" s="379"/>
      <c r="D35" s="65">
        <v>585118.6</v>
      </c>
      <c r="E35" s="66"/>
      <c r="F35" s="66"/>
      <c r="G35" s="66"/>
      <c r="H35" s="62"/>
      <c r="I35" s="62"/>
      <c r="J35" s="101"/>
    </row>
    <row r="36" spans="1:9" s="67" customFormat="1" ht="15.75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386</v>
      </c>
      <c r="B37" s="64"/>
      <c r="C37" s="64"/>
      <c r="D37" s="69"/>
      <c r="E37" s="70"/>
      <c r="F37" s="70"/>
      <c r="G37" s="146">
        <f>G14+E27-F27</f>
        <v>379250.77</v>
      </c>
      <c r="H37" s="62"/>
      <c r="I37" s="62"/>
    </row>
    <row r="38" spans="1:9" s="67" customFormat="1" ht="15.75" thickBot="1">
      <c r="A38" s="63" t="s">
        <v>387</v>
      </c>
      <c r="B38" s="64"/>
      <c r="C38" s="64"/>
      <c r="D38" s="69"/>
      <c r="E38" s="70"/>
      <c r="F38" s="70"/>
      <c r="G38" s="146">
        <f>G15+E26-F26</f>
        <v>417109.07889999996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28.5" customHeight="1">
      <c r="A40" s="433" t="s">
        <v>44</v>
      </c>
      <c r="B40" s="433"/>
      <c r="C40" s="433"/>
      <c r="D40" s="433"/>
      <c r="E40" s="433"/>
      <c r="F40" s="433"/>
      <c r="G40" s="433"/>
      <c r="H40" s="433"/>
      <c r="I40" s="433"/>
    </row>
    <row r="41" ht="6.75" customHeight="1"/>
    <row r="42" spans="1:9" ht="28.5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5"/>
      <c r="H42" s="173"/>
      <c r="I42" s="173"/>
    </row>
    <row r="43" spans="1:9" ht="15">
      <c r="A43" s="109" t="s">
        <v>47</v>
      </c>
      <c r="B43" s="396" t="s">
        <v>114</v>
      </c>
      <c r="C43" s="399"/>
      <c r="D43" s="111"/>
      <c r="E43" s="111"/>
      <c r="F43" s="411">
        <f>SUM(F44:L48)</f>
        <v>28425.384100000003</v>
      </c>
      <c r="G43" s="404"/>
      <c r="H43" s="115"/>
      <c r="I43" s="115"/>
    </row>
    <row r="44" spans="1:9" s="173" customFormat="1" ht="15">
      <c r="A44" s="34" t="s">
        <v>16</v>
      </c>
      <c r="B44" s="369" t="s">
        <v>517</v>
      </c>
      <c r="C44" s="371"/>
      <c r="D44" s="119" t="s">
        <v>240</v>
      </c>
      <c r="E44" s="122">
        <v>0.015</v>
      </c>
      <c r="F44" s="420">
        <v>8491.69</v>
      </c>
      <c r="G44" s="421"/>
      <c r="H44" s="35"/>
      <c r="I44" s="35"/>
    </row>
    <row r="45" spans="1:9" s="173" customFormat="1" ht="15">
      <c r="A45" s="34" t="s">
        <v>18</v>
      </c>
      <c r="B45" s="369" t="s">
        <v>502</v>
      </c>
      <c r="C45" s="371"/>
      <c r="D45" s="119" t="s">
        <v>258</v>
      </c>
      <c r="E45" s="119"/>
      <c r="F45" s="420">
        <v>1202</v>
      </c>
      <c r="G45" s="421"/>
      <c r="H45" s="35"/>
      <c r="I45" s="35"/>
    </row>
    <row r="46" spans="1:9" s="173" customFormat="1" ht="17.25" customHeight="1">
      <c r="A46" s="34" t="s">
        <v>20</v>
      </c>
      <c r="B46" s="369" t="s">
        <v>789</v>
      </c>
      <c r="C46" s="415"/>
      <c r="D46" s="119"/>
      <c r="E46" s="154"/>
      <c r="F46" s="398">
        <v>8000</v>
      </c>
      <c r="G46" s="398"/>
      <c r="H46" s="35"/>
      <c r="I46" s="35"/>
    </row>
    <row r="47" spans="1:9" s="173" customFormat="1" ht="17.25" customHeight="1">
      <c r="A47" s="34" t="s">
        <v>22</v>
      </c>
      <c r="B47" s="117" t="s">
        <v>840</v>
      </c>
      <c r="C47" s="356"/>
      <c r="D47" s="119"/>
      <c r="E47" s="154"/>
      <c r="F47" s="398">
        <v>10000</v>
      </c>
      <c r="G47" s="398"/>
      <c r="H47" s="35"/>
      <c r="I47" s="35"/>
    </row>
    <row r="48" spans="1:7" ht="15">
      <c r="A48" s="34" t="s">
        <v>24</v>
      </c>
      <c r="B48" s="150" t="s">
        <v>114</v>
      </c>
      <c r="C48" s="151"/>
      <c r="D48" s="119"/>
      <c r="E48" s="119"/>
      <c r="F48" s="410">
        <f>E26*1%</f>
        <v>731.6941</v>
      </c>
      <c r="G48" s="410"/>
    </row>
    <row r="49" spans="1:9" ht="12" customHeight="1">
      <c r="A49" s="67"/>
      <c r="B49" s="67"/>
      <c r="C49" s="67"/>
      <c r="D49" s="67"/>
      <c r="E49" s="67"/>
      <c r="F49" s="67"/>
      <c r="G49" s="67"/>
      <c r="H49" s="67"/>
      <c r="I49" s="67"/>
    </row>
    <row r="50" spans="1:9" ht="12" customHeight="1">
      <c r="A50" s="67" t="s">
        <v>55</v>
      </c>
      <c r="B50" s="67"/>
      <c r="C50" s="67" t="s">
        <v>49</v>
      </c>
      <c r="D50" s="67"/>
      <c r="E50" s="67"/>
      <c r="F50" s="67" t="s">
        <v>93</v>
      </c>
      <c r="G50" s="67"/>
      <c r="H50" s="67"/>
      <c r="I50" s="67"/>
    </row>
    <row r="51" spans="1:9" ht="12" customHeight="1">
      <c r="A51" s="67"/>
      <c r="B51" s="67"/>
      <c r="C51" s="67"/>
      <c r="D51" s="67"/>
      <c r="E51" s="67"/>
      <c r="F51" s="128" t="s">
        <v>516</v>
      </c>
      <c r="G51" s="67"/>
      <c r="H51" s="67"/>
      <c r="I51" s="67"/>
    </row>
    <row r="52" s="67" customFormat="1" ht="9.75" customHeight="1">
      <c r="A52" s="67" t="s">
        <v>50</v>
      </c>
    </row>
    <row r="53" spans="3:7" s="67" customFormat="1" ht="15">
      <c r="C53" s="130" t="s">
        <v>51</v>
      </c>
      <c r="E53" s="130"/>
      <c r="F53" s="130"/>
      <c r="G53" s="130"/>
    </row>
    <row r="54" s="67" customFormat="1" ht="15"/>
    <row r="55" s="67" customFormat="1" ht="15"/>
  </sheetData>
  <sheetProtection/>
  <mergeCells count="22">
    <mergeCell ref="F46:G46"/>
    <mergeCell ref="A34:F34"/>
    <mergeCell ref="F44:G44"/>
    <mergeCell ref="B43:C43"/>
    <mergeCell ref="A1:I1"/>
    <mergeCell ref="A2:I2"/>
    <mergeCell ref="A5:I5"/>
    <mergeCell ref="A10:I10"/>
    <mergeCell ref="A3:K3"/>
    <mergeCell ref="B44:C44"/>
    <mergeCell ref="A11:I11"/>
    <mergeCell ref="A12:I12"/>
    <mergeCell ref="F48:G48"/>
    <mergeCell ref="A35:C35"/>
    <mergeCell ref="A40:I40"/>
    <mergeCell ref="B42:C42"/>
    <mergeCell ref="F42:G42"/>
    <mergeCell ref="F43:G43"/>
    <mergeCell ref="B46:C46"/>
    <mergeCell ref="F45:G45"/>
    <mergeCell ref="F47:G47"/>
    <mergeCell ref="B45:C4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P50"/>
  <sheetViews>
    <sheetView zoomScalePageLayoutView="0" workbookViewId="0" topLeftCell="A22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5.7109375" style="35" customWidth="1"/>
    <col min="3" max="3" width="12.7109375" style="35" customWidth="1"/>
    <col min="4" max="4" width="13.00390625" style="35" customWidth="1"/>
    <col min="5" max="5" width="13.140625" style="35" customWidth="1"/>
    <col min="6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7109375" style="35" bestFit="1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2.7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9.7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4.2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3.75" customHeight="1"/>
    <row r="7" spans="1:6" s="67" customFormat="1" ht="16.5" customHeight="1">
      <c r="A7" s="67" t="s">
        <v>2</v>
      </c>
      <c r="F7" s="128" t="s">
        <v>75</v>
      </c>
    </row>
    <row r="8" spans="1:6" s="67" customFormat="1" ht="15">
      <c r="A8" s="67" t="s">
        <v>3</v>
      </c>
      <c r="F8" s="299" t="s">
        <v>402</v>
      </c>
    </row>
    <row r="9" s="67" customFormat="1" ht="15"/>
    <row r="10" spans="1:9" s="67" customFormat="1" ht="13.5" customHeight="1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0.5" customHeight="1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'[1]Калинина 23'!$G$36</f>
        <v>20084.97999999998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'[1]Калинина 23'!$G$37</f>
        <v>-94672.4852</v>
      </c>
      <c r="H15" s="62"/>
      <c r="I15" s="62"/>
    </row>
    <row r="16" s="67" customFormat="1" ht="8.25" customHeight="1"/>
    <row r="17" spans="1:7" s="74" customFormat="1" ht="52.5" customHeight="1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29.25">
      <c r="A18" s="75" t="s">
        <v>14</v>
      </c>
      <c r="B18" s="41" t="s">
        <v>15</v>
      </c>
      <c r="C18" s="137">
        <f>C19+C20+C21+C22</f>
        <v>9.879999999999999</v>
      </c>
      <c r="D18" s="76">
        <v>442265.63</v>
      </c>
      <c r="E18" s="76">
        <v>424576.66</v>
      </c>
      <c r="F18" s="76">
        <f>D18</f>
        <v>442265.63</v>
      </c>
      <c r="G18" s="77">
        <f>D18-E18</f>
        <v>17688.97000000003</v>
      </c>
      <c r="H18" s="14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154882.4979554656</v>
      </c>
      <c r="E19" s="83">
        <f>E18*I19</f>
        <v>148687.7776923077</v>
      </c>
      <c r="F19" s="83">
        <f>D19</f>
        <v>154882.4979554656</v>
      </c>
      <c r="G19" s="84">
        <f>D19-E19</f>
        <v>6194.720263157913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75650.69986842106</v>
      </c>
      <c r="E20" s="83">
        <f>E18*I20</f>
        <v>72624.955</v>
      </c>
      <c r="F20" s="83">
        <f>D20</f>
        <v>75650.69986842106</v>
      </c>
      <c r="G20" s="84">
        <f>D20-E20</f>
        <v>3025.744868421054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75650.69986842106</v>
      </c>
      <c r="E21" s="83">
        <f>E18*I21</f>
        <v>72624.955</v>
      </c>
      <c r="F21" s="83">
        <f>D21</f>
        <v>75650.69986842106</v>
      </c>
      <c r="G21" s="84">
        <f>D21-E21</f>
        <v>3025.744868421054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136081.73230769232</v>
      </c>
      <c r="E22" s="83">
        <f>E18*I22</f>
        <v>130638.97230769231</v>
      </c>
      <c r="F22" s="83">
        <f>D22</f>
        <v>136081.73230769232</v>
      </c>
      <c r="G22" s="84">
        <f>D22-E22</f>
        <v>5442.760000000009</v>
      </c>
      <c r="H22" s="147">
        <f>C22</f>
        <v>3.04</v>
      </c>
      <c r="I22" s="67">
        <f>H22/H18</f>
        <v>0.3076923076923077</v>
      </c>
    </row>
    <row r="23" spans="1:7" ht="15">
      <c r="A23" s="41" t="s">
        <v>25</v>
      </c>
      <c r="B23" s="142" t="s">
        <v>141</v>
      </c>
      <c r="C23" s="97">
        <v>0</v>
      </c>
      <c r="D23" s="77">
        <v>0</v>
      </c>
      <c r="E23" s="77">
        <v>0</v>
      </c>
      <c r="F23" s="77">
        <v>0</v>
      </c>
      <c r="G23" s="77">
        <f aca="true" t="shared" si="0" ref="G23:G32">D23-E23</f>
        <v>0</v>
      </c>
    </row>
    <row r="24" spans="1:7" ht="1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2" t="s">
        <v>168</v>
      </c>
      <c r="C25" s="143" t="s">
        <v>394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13" ht="15">
      <c r="A26" s="41" t="s">
        <v>31</v>
      </c>
      <c r="B26" s="142" t="s">
        <v>119</v>
      </c>
      <c r="C26" s="97">
        <v>1.86</v>
      </c>
      <c r="D26" s="77">
        <v>75006.2</v>
      </c>
      <c r="E26" s="77">
        <v>74219.61</v>
      </c>
      <c r="F26" s="87">
        <f>F42</f>
        <v>57720.0561</v>
      </c>
      <c r="G26" s="77">
        <f t="shared" si="0"/>
        <v>786.5899999999965</v>
      </c>
      <c r="M26" s="161"/>
    </row>
    <row r="27" spans="1:16" ht="15">
      <c r="A27" s="41" t="s">
        <v>33</v>
      </c>
      <c r="B27" s="136" t="s">
        <v>371</v>
      </c>
      <c r="C27" s="53"/>
      <c r="D27" s="77">
        <v>0</v>
      </c>
      <c r="E27" s="77">
        <v>3866.53</v>
      </c>
      <c r="F27" s="202">
        <v>0</v>
      </c>
      <c r="G27" s="77">
        <f t="shared" si="0"/>
        <v>-3866.53</v>
      </c>
      <c r="H27" s="438" t="s">
        <v>255</v>
      </c>
      <c r="I27" s="439"/>
      <c r="J27" s="439"/>
      <c r="N27" s="436"/>
      <c r="O27" s="437"/>
      <c r="P27" s="437"/>
    </row>
    <row r="28" spans="1:7" ht="15">
      <c r="A28" s="41" t="s">
        <v>35</v>
      </c>
      <c r="B28" s="136" t="s">
        <v>36</v>
      </c>
      <c r="C28" s="97"/>
      <c r="D28" s="77">
        <f>SUM(D29:D32)</f>
        <v>1572925.8800000001</v>
      </c>
      <c r="E28" s="77">
        <f>SUM(E29:E32)</f>
        <v>1532580.63</v>
      </c>
      <c r="F28" s="77">
        <f>SUM(F29:F32)</f>
        <v>1572925.8800000001</v>
      </c>
      <c r="G28" s="77">
        <f t="shared" si="0"/>
        <v>40345.25000000023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29708.62</v>
      </c>
      <c r="E29" s="84">
        <v>29556.57</v>
      </c>
      <c r="F29" s="84">
        <f>D29</f>
        <v>29708.62</v>
      </c>
      <c r="G29" s="84">
        <f t="shared" si="0"/>
        <v>152.04999999999927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497130.46</v>
      </c>
      <c r="E30" s="84">
        <v>465646.57</v>
      </c>
      <c r="F30" s="84">
        <f>D30</f>
        <v>497130.46</v>
      </c>
      <c r="G30" s="84">
        <f t="shared" si="0"/>
        <v>31483.890000000014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4">
        <f>D31</f>
        <v>0</v>
      </c>
      <c r="G31" s="84">
        <f t="shared" si="0"/>
        <v>0</v>
      </c>
    </row>
    <row r="32" spans="1:9" ht="15">
      <c r="A32" s="34" t="s">
        <v>41</v>
      </c>
      <c r="B32" s="34" t="s">
        <v>43</v>
      </c>
      <c r="C32" s="293" t="s">
        <v>380</v>
      </c>
      <c r="D32" s="84">
        <v>1046086.8</v>
      </c>
      <c r="E32" s="84">
        <v>1037377.49</v>
      </c>
      <c r="F32" s="84">
        <f>D32</f>
        <v>1046086.8</v>
      </c>
      <c r="G32" s="84">
        <f t="shared" si="0"/>
        <v>8709.310000000056</v>
      </c>
      <c r="H32" s="101"/>
      <c r="I32" s="101"/>
    </row>
    <row r="33" spans="1:9" ht="15.75" thickBot="1">
      <c r="A33" s="363" t="s">
        <v>378</v>
      </c>
      <c r="B33" s="364"/>
      <c r="C33" s="364"/>
      <c r="D33" s="365"/>
      <c r="E33" s="365"/>
      <c r="F33" s="365"/>
      <c r="G33" s="172"/>
      <c r="H33" s="101"/>
      <c r="I33" s="101"/>
    </row>
    <row r="34" spans="1:10" s="102" customFormat="1" ht="14.25" thickBot="1">
      <c r="A34" s="378" t="s">
        <v>383</v>
      </c>
      <c r="B34" s="379"/>
      <c r="C34" s="379"/>
      <c r="D34" s="65">
        <v>580299.35</v>
      </c>
      <c r="E34" s="66"/>
      <c r="F34" s="66"/>
      <c r="G34" s="66"/>
      <c r="H34" s="62"/>
      <c r="I34" s="62"/>
      <c r="J34" s="101"/>
    </row>
    <row r="35" spans="1:9" s="67" customFormat="1" ht="15.75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23951.50999999998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-78172.9313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31.5" customHeight="1">
      <c r="A39" s="433" t="s">
        <v>44</v>
      </c>
      <c r="B39" s="433"/>
      <c r="C39" s="433"/>
      <c r="D39" s="433"/>
      <c r="E39" s="433"/>
      <c r="F39" s="433"/>
      <c r="G39" s="433"/>
      <c r="H39" s="433"/>
      <c r="I39" s="433"/>
    </row>
    <row r="41" spans="1:9" ht="28.5">
      <c r="A41" s="105" t="s">
        <v>11</v>
      </c>
      <c r="B41" s="394" t="s">
        <v>45</v>
      </c>
      <c r="C41" s="405"/>
      <c r="D41" s="105" t="s">
        <v>170</v>
      </c>
      <c r="E41" s="105" t="s">
        <v>169</v>
      </c>
      <c r="F41" s="394" t="s">
        <v>46</v>
      </c>
      <c r="G41" s="405"/>
      <c r="H41" s="173"/>
      <c r="I41" s="173"/>
    </row>
    <row r="42" spans="1:9" s="173" customFormat="1" ht="15">
      <c r="A42" s="109" t="s">
        <v>47</v>
      </c>
      <c r="B42" s="396" t="s">
        <v>114</v>
      </c>
      <c r="C42" s="399"/>
      <c r="D42" s="111"/>
      <c r="E42" s="111"/>
      <c r="F42" s="411">
        <f>SUM(F43:L45)</f>
        <v>57720.0561</v>
      </c>
      <c r="G42" s="404"/>
      <c r="H42" s="115"/>
      <c r="I42" s="115"/>
    </row>
    <row r="43" spans="1:9" s="115" customFormat="1" ht="12.75" customHeight="1">
      <c r="A43" s="34" t="s">
        <v>16</v>
      </c>
      <c r="B43" s="369" t="s">
        <v>177</v>
      </c>
      <c r="C43" s="371"/>
      <c r="D43" s="119" t="s">
        <v>249</v>
      </c>
      <c r="E43" s="203"/>
      <c r="F43" s="420">
        <v>40777.86</v>
      </c>
      <c r="G43" s="421"/>
      <c r="H43" s="35"/>
      <c r="I43" s="35"/>
    </row>
    <row r="44" spans="1:9" s="115" customFormat="1" ht="12.75" customHeight="1">
      <c r="A44" s="34" t="s">
        <v>18</v>
      </c>
      <c r="B44" s="369" t="s">
        <v>792</v>
      </c>
      <c r="C44" s="371"/>
      <c r="D44" s="119"/>
      <c r="E44" s="119"/>
      <c r="F44" s="420">
        <v>16200</v>
      </c>
      <c r="G44" s="421"/>
      <c r="H44" s="35"/>
      <c r="I44" s="35"/>
    </row>
    <row r="45" spans="1:7" ht="12.75" customHeight="1">
      <c r="A45" s="34" t="s">
        <v>20</v>
      </c>
      <c r="B45" s="150" t="s">
        <v>198</v>
      </c>
      <c r="C45" s="151"/>
      <c r="D45" s="119"/>
      <c r="E45" s="119"/>
      <c r="F45" s="410">
        <f>E26*1%</f>
        <v>742.1961</v>
      </c>
      <c r="G45" s="410"/>
    </row>
    <row r="46" spans="1:9" ht="12.75" customHeight="1">
      <c r="A46" s="67"/>
      <c r="B46" s="67"/>
      <c r="C46" s="67"/>
      <c r="D46" s="67"/>
      <c r="E46" s="67"/>
      <c r="F46" s="67"/>
      <c r="G46" s="67"/>
      <c r="H46" s="67"/>
      <c r="I46" s="67"/>
    </row>
    <row r="47" spans="1:9" ht="12.75" customHeight="1">
      <c r="A47" s="67" t="s">
        <v>55</v>
      </c>
      <c r="B47" s="67"/>
      <c r="C47" s="67" t="s">
        <v>49</v>
      </c>
      <c r="D47" s="67"/>
      <c r="E47" s="67"/>
      <c r="F47" s="67" t="s">
        <v>93</v>
      </c>
      <c r="G47" s="67"/>
      <c r="H47" s="67"/>
      <c r="I47" s="67"/>
    </row>
    <row r="48" spans="1:9" ht="12.75" customHeight="1">
      <c r="A48" s="67"/>
      <c r="B48" s="67"/>
      <c r="C48" s="67"/>
      <c r="D48" s="67"/>
      <c r="E48" s="67"/>
      <c r="F48" s="128" t="s">
        <v>516</v>
      </c>
      <c r="G48" s="67"/>
      <c r="H48" s="67"/>
      <c r="I48" s="67"/>
    </row>
    <row r="49" spans="1:9" ht="12.75" customHeight="1">
      <c r="A49" s="67" t="s">
        <v>50</v>
      </c>
      <c r="B49" s="67"/>
      <c r="C49" s="67"/>
      <c r="D49" s="67"/>
      <c r="E49" s="67"/>
      <c r="F49" s="67"/>
      <c r="G49" s="67"/>
      <c r="H49" s="67"/>
      <c r="I49" s="67"/>
    </row>
    <row r="50" spans="1:9" ht="12.75" customHeight="1">
      <c r="A50" s="67"/>
      <c r="B50" s="67"/>
      <c r="C50" s="130" t="s">
        <v>51</v>
      </c>
      <c r="D50" s="67"/>
      <c r="E50" s="130"/>
      <c r="F50" s="130"/>
      <c r="G50" s="130"/>
      <c r="H50" s="67"/>
      <c r="I50" s="67"/>
    </row>
    <row r="51" s="67" customFormat="1" ht="15"/>
    <row r="52" s="67" customFormat="1" ht="15"/>
  </sheetData>
  <sheetProtection/>
  <mergeCells count="21">
    <mergeCell ref="B41:C41"/>
    <mergeCell ref="F41:G41"/>
    <mergeCell ref="B42:C42"/>
    <mergeCell ref="F42:G42"/>
    <mergeCell ref="F45:G45"/>
    <mergeCell ref="B43:C43"/>
    <mergeCell ref="B44:C44"/>
    <mergeCell ref="F44:G44"/>
    <mergeCell ref="F43:G43"/>
    <mergeCell ref="N27:P27"/>
    <mergeCell ref="H27:J27"/>
    <mergeCell ref="A33:F33"/>
    <mergeCell ref="A34:C34"/>
    <mergeCell ref="A39:I39"/>
    <mergeCell ref="A12:I12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M56"/>
  <sheetViews>
    <sheetView zoomScalePageLayoutView="0" workbookViewId="0" topLeftCell="A27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1.140625" style="35" customWidth="1"/>
    <col min="3" max="3" width="13.00390625" style="35" customWidth="1"/>
    <col min="4" max="4" width="13.57421875" style="35" customWidth="1"/>
    <col min="5" max="5" width="12.8515625" style="35" customWidth="1"/>
    <col min="6" max="6" width="13.8515625" style="35" customWidth="1"/>
    <col min="7" max="7" width="15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5.2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4.2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5.25" customHeight="1"/>
    <row r="7" spans="1:6" s="67" customFormat="1" ht="16.5" customHeight="1">
      <c r="A7" s="67" t="s">
        <v>2</v>
      </c>
      <c r="F7" s="128" t="s">
        <v>76</v>
      </c>
    </row>
    <row r="8" spans="1:6" s="67" customFormat="1" ht="15">
      <c r="A8" s="67" t="s">
        <v>3</v>
      </c>
      <c r="F8" s="299" t="s">
        <v>269</v>
      </c>
    </row>
    <row r="9" s="67" customFormat="1" ht="7.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'[1]Пионерская 9'!$G$36</f>
        <v>24315.84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'[1]Пионерская 9'!$G$37</f>
        <v>-83862.4027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29.25">
      <c r="A18" s="75" t="s">
        <v>14</v>
      </c>
      <c r="B18" s="41" t="s">
        <v>15</v>
      </c>
      <c r="C18" s="137">
        <f>C19+C20+C21+C22</f>
        <v>10.34</v>
      </c>
      <c r="D18" s="76">
        <v>379841.55</v>
      </c>
      <c r="E18" s="76">
        <v>372990.96</v>
      </c>
      <c r="F18" s="76">
        <f>D18</f>
        <v>379841.55</v>
      </c>
      <c r="G18" s="77">
        <f>D18-E18</f>
        <v>6850.589999999967</v>
      </c>
      <c r="H18" s="147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127103.65212765959</v>
      </c>
      <c r="E19" s="83">
        <f>E18*I19</f>
        <v>124811.28835589944</v>
      </c>
      <c r="F19" s="83">
        <f>D19</f>
        <v>127103.65212765959</v>
      </c>
      <c r="G19" s="84">
        <f>D19-E19</f>
        <v>2292.3637717601523</v>
      </c>
      <c r="H19" s="147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62082.41968085105</v>
      </c>
      <c r="E20" s="83">
        <f>E18*I20</f>
        <v>60962.739110251445</v>
      </c>
      <c r="F20" s="83">
        <f>D20</f>
        <v>62082.41968085105</v>
      </c>
      <c r="G20" s="84">
        <f>D20-E20</f>
        <v>1119.6805705996085</v>
      </c>
      <c r="H20" s="147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78980.59308510639</v>
      </c>
      <c r="E21" s="83">
        <f>E18*I21</f>
        <v>77556.14738878144</v>
      </c>
      <c r="F21" s="83">
        <f>D21</f>
        <v>78980.59308510639</v>
      </c>
      <c r="G21" s="84">
        <f>D21-E21</f>
        <v>1424.445696324954</v>
      </c>
      <c r="H21" s="147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111674.88510638298</v>
      </c>
      <c r="E22" s="83">
        <f>E18*I22</f>
        <v>109660.78514506771</v>
      </c>
      <c r="F22" s="83">
        <f>D22</f>
        <v>111674.88510638298</v>
      </c>
      <c r="G22" s="84">
        <f>D22-E22</f>
        <v>2014.0999613152671</v>
      </c>
      <c r="H22" s="147">
        <f>C22</f>
        <v>3.04</v>
      </c>
      <c r="I22" s="67">
        <f>H22/H18</f>
        <v>0.2940038684719536</v>
      </c>
    </row>
    <row r="23" spans="1:7" ht="15">
      <c r="A23" s="41" t="s">
        <v>25</v>
      </c>
      <c r="B23" s="142" t="s">
        <v>176</v>
      </c>
      <c r="C23" s="143">
        <v>3.86</v>
      </c>
      <c r="D23" s="77">
        <v>136350.68</v>
      </c>
      <c r="E23" s="77">
        <v>139278.96</v>
      </c>
      <c r="F23" s="76">
        <f aca="true" t="shared" si="0" ref="F23:F32">D23</f>
        <v>136350.68</v>
      </c>
      <c r="G23" s="77">
        <f aca="true" t="shared" si="1" ref="G23:G32">D23-E23</f>
        <v>-2928.279999999999</v>
      </c>
    </row>
    <row r="24" spans="1:7" ht="15">
      <c r="A24" s="41" t="s">
        <v>27</v>
      </c>
      <c r="B24" s="142" t="s">
        <v>28</v>
      </c>
      <c r="C24" s="143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ht="15">
      <c r="A25" s="41" t="s">
        <v>29</v>
      </c>
      <c r="B25" s="142" t="s">
        <v>168</v>
      </c>
      <c r="C25" s="143" t="s">
        <v>394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ht="15">
      <c r="A26" s="41" t="s">
        <v>31</v>
      </c>
      <c r="B26" s="142" t="s">
        <v>119</v>
      </c>
      <c r="C26" s="143">
        <v>2.06</v>
      </c>
      <c r="D26" s="77">
        <v>72823.76</v>
      </c>
      <c r="E26" s="77">
        <v>74394.45</v>
      </c>
      <c r="F26" s="76">
        <f>F42</f>
        <v>81098.0545</v>
      </c>
      <c r="G26" s="77">
        <f t="shared" si="1"/>
        <v>-1570.6900000000023</v>
      </c>
      <c r="M26" s="161"/>
    </row>
    <row r="27" spans="1:7" ht="15">
      <c r="A27" s="41" t="s">
        <v>33</v>
      </c>
      <c r="B27" s="136" t="s">
        <v>34</v>
      </c>
      <c r="C27" s="137">
        <v>0</v>
      </c>
      <c r="D27" s="77">
        <v>0</v>
      </c>
      <c r="E27" s="77">
        <v>11.18</v>
      </c>
      <c r="F27" s="76">
        <f>D27</f>
        <v>0</v>
      </c>
      <c r="G27" s="77">
        <f t="shared" si="1"/>
        <v>-11.18</v>
      </c>
    </row>
    <row r="28" spans="1:7" ht="15">
      <c r="A28" s="41" t="s">
        <v>35</v>
      </c>
      <c r="B28" s="136" t="s">
        <v>36</v>
      </c>
      <c r="C28" s="137"/>
      <c r="D28" s="77">
        <f>SUM(D29:D32)</f>
        <v>1667061.35</v>
      </c>
      <c r="E28" s="77">
        <f>SUM(E29:E32)</f>
        <v>1654214.88</v>
      </c>
      <c r="F28" s="76">
        <f t="shared" si="0"/>
        <v>1667061.35</v>
      </c>
      <c r="G28" s="77">
        <f t="shared" si="1"/>
        <v>12846.470000000205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89558.58</v>
      </c>
      <c r="E29" s="84">
        <v>35920.86</v>
      </c>
      <c r="F29" s="83">
        <f>D29</f>
        <v>89558.58</v>
      </c>
      <c r="G29" s="84">
        <f t="shared" si="1"/>
        <v>53637.72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239782.14</v>
      </c>
      <c r="E30" s="84">
        <v>250099.46</v>
      </c>
      <c r="F30" s="83">
        <f t="shared" si="0"/>
        <v>239782.14</v>
      </c>
      <c r="G30" s="84">
        <f t="shared" si="1"/>
        <v>-10317.319999999978</v>
      </c>
    </row>
    <row r="31" spans="1:7" ht="15">
      <c r="A31" s="34" t="s">
        <v>42</v>
      </c>
      <c r="B31" s="34" t="s">
        <v>40</v>
      </c>
      <c r="C31" s="294" t="s">
        <v>381</v>
      </c>
      <c r="D31" s="84">
        <v>454623.79</v>
      </c>
      <c r="E31" s="84">
        <v>467167.67</v>
      </c>
      <c r="F31" s="83">
        <f t="shared" si="0"/>
        <v>454623.79</v>
      </c>
      <c r="G31" s="84">
        <f t="shared" si="1"/>
        <v>-12543.880000000005</v>
      </c>
    </row>
    <row r="32" spans="1:9" ht="15">
      <c r="A32" s="34" t="s">
        <v>41</v>
      </c>
      <c r="B32" s="34" t="s">
        <v>43</v>
      </c>
      <c r="C32" s="293" t="s">
        <v>380</v>
      </c>
      <c r="D32" s="84">
        <v>883096.84</v>
      </c>
      <c r="E32" s="84">
        <v>901026.89</v>
      </c>
      <c r="F32" s="83">
        <f t="shared" si="0"/>
        <v>883096.84</v>
      </c>
      <c r="G32" s="84">
        <f t="shared" si="1"/>
        <v>-17930.050000000047</v>
      </c>
      <c r="H32" s="101"/>
      <c r="I32" s="101"/>
    </row>
    <row r="33" spans="1:9" ht="15.75" thickBot="1">
      <c r="A33" s="363" t="s">
        <v>378</v>
      </c>
      <c r="B33" s="364"/>
      <c r="C33" s="364"/>
      <c r="D33" s="365"/>
      <c r="E33" s="365"/>
      <c r="F33" s="365"/>
      <c r="G33" s="172"/>
      <c r="H33" s="101"/>
      <c r="I33" s="101"/>
    </row>
    <row r="34" spans="1:10" s="102" customFormat="1" ht="14.25" thickBot="1">
      <c r="A34" s="378" t="s">
        <v>383</v>
      </c>
      <c r="B34" s="379"/>
      <c r="C34" s="379"/>
      <c r="D34" s="65">
        <v>367162.65</v>
      </c>
      <c r="E34" s="66"/>
      <c r="F34" s="66"/>
      <c r="G34" s="66"/>
      <c r="H34" s="62"/>
      <c r="I34" s="62"/>
      <c r="J34" s="101"/>
    </row>
    <row r="35" spans="1:9" s="67" customFormat="1" ht="15.75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24327.02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-90566.00720000001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24" customHeight="1">
      <c r="A39" s="433" t="s">
        <v>44</v>
      </c>
      <c r="B39" s="433"/>
      <c r="C39" s="433"/>
      <c r="D39" s="433"/>
      <c r="E39" s="433"/>
      <c r="F39" s="433"/>
      <c r="G39" s="433"/>
      <c r="H39" s="433"/>
      <c r="I39" s="433"/>
    </row>
    <row r="41" spans="1:9" ht="28.5">
      <c r="A41" s="105" t="s">
        <v>11</v>
      </c>
      <c r="B41" s="394" t="s">
        <v>45</v>
      </c>
      <c r="C41" s="405"/>
      <c r="D41" s="105" t="s">
        <v>170</v>
      </c>
      <c r="E41" s="105" t="s">
        <v>169</v>
      </c>
      <c r="F41" s="394" t="s">
        <v>46</v>
      </c>
      <c r="G41" s="405"/>
      <c r="H41" s="173"/>
      <c r="I41" s="173"/>
    </row>
    <row r="42" spans="1:9" s="173" customFormat="1" ht="15">
      <c r="A42" s="109" t="s">
        <v>47</v>
      </c>
      <c r="B42" s="396" t="s">
        <v>114</v>
      </c>
      <c r="C42" s="399"/>
      <c r="D42" s="111"/>
      <c r="E42" s="111"/>
      <c r="F42" s="411">
        <f>SUM(F43:G48)</f>
        <v>81098.0545</v>
      </c>
      <c r="G42" s="404"/>
      <c r="H42" s="115"/>
      <c r="I42" s="115"/>
    </row>
    <row r="43" spans="1:9" s="173" customFormat="1" ht="15">
      <c r="A43" s="34" t="s">
        <v>16</v>
      </c>
      <c r="B43" s="369" t="s">
        <v>335</v>
      </c>
      <c r="C43" s="371"/>
      <c r="D43" s="119" t="s">
        <v>549</v>
      </c>
      <c r="E43" s="119"/>
      <c r="F43" s="410">
        <v>10000</v>
      </c>
      <c r="G43" s="410"/>
      <c r="H43" s="115"/>
      <c r="I43" s="115"/>
    </row>
    <row r="44" spans="1:9" s="173" customFormat="1" ht="15">
      <c r="A44" s="34" t="s">
        <v>18</v>
      </c>
      <c r="B44" s="117" t="s">
        <v>550</v>
      </c>
      <c r="C44" s="118"/>
      <c r="D44" s="119" t="s">
        <v>265</v>
      </c>
      <c r="E44" s="119">
        <v>0.12</v>
      </c>
      <c r="F44" s="410">
        <v>9979.91</v>
      </c>
      <c r="G44" s="410"/>
      <c r="H44" s="115"/>
      <c r="I44" s="115"/>
    </row>
    <row r="45" spans="1:9" s="173" customFormat="1" ht="30.75" customHeight="1">
      <c r="A45" s="34" t="s">
        <v>20</v>
      </c>
      <c r="B45" s="369" t="s">
        <v>732</v>
      </c>
      <c r="C45" s="422"/>
      <c r="D45" s="119" t="s">
        <v>248</v>
      </c>
      <c r="E45" s="119">
        <v>1</v>
      </c>
      <c r="F45" s="440">
        <v>30410</v>
      </c>
      <c r="G45" s="441"/>
      <c r="H45" s="115"/>
      <c r="I45" s="115"/>
    </row>
    <row r="46" spans="1:9" s="173" customFormat="1" ht="15">
      <c r="A46" s="34" t="s">
        <v>22</v>
      </c>
      <c r="B46" s="369" t="s">
        <v>551</v>
      </c>
      <c r="C46" s="371"/>
      <c r="D46" s="119" t="s">
        <v>265</v>
      </c>
      <c r="E46" s="203">
        <v>0.135</v>
      </c>
      <c r="F46" s="410">
        <v>19964.2</v>
      </c>
      <c r="G46" s="410"/>
      <c r="H46" s="115"/>
      <c r="I46" s="115"/>
    </row>
    <row r="47" spans="1:9" s="173" customFormat="1" ht="15">
      <c r="A47" s="34" t="s">
        <v>24</v>
      </c>
      <c r="B47" s="369" t="s">
        <v>335</v>
      </c>
      <c r="C47" s="371"/>
      <c r="D47" s="119"/>
      <c r="E47" s="203"/>
      <c r="F47" s="410">
        <v>10000</v>
      </c>
      <c r="G47" s="410"/>
      <c r="H47" s="115"/>
      <c r="I47" s="115"/>
    </row>
    <row r="48" spans="1:7" ht="12.75" customHeight="1">
      <c r="A48" s="34" t="s">
        <v>106</v>
      </c>
      <c r="B48" s="150" t="s">
        <v>198</v>
      </c>
      <c r="C48" s="151"/>
      <c r="D48" s="119"/>
      <c r="E48" s="119"/>
      <c r="F48" s="410">
        <f>E26*1%</f>
        <v>743.9445</v>
      </c>
      <c r="G48" s="410"/>
    </row>
    <row r="49" spans="1:9" ht="12.75" customHeight="1">
      <c r="A49" s="67"/>
      <c r="B49" s="67"/>
      <c r="C49" s="67"/>
      <c r="D49" s="67"/>
      <c r="E49" s="67"/>
      <c r="F49" s="67"/>
      <c r="G49" s="67"/>
      <c r="H49" s="67"/>
      <c r="I49" s="67"/>
    </row>
    <row r="50" spans="1:9" ht="12.75" customHeight="1">
      <c r="A50" s="67" t="s">
        <v>55</v>
      </c>
      <c r="B50" s="67"/>
      <c r="C50" s="67" t="s">
        <v>49</v>
      </c>
      <c r="D50" s="67"/>
      <c r="E50" s="67"/>
      <c r="F50" s="67" t="s">
        <v>93</v>
      </c>
      <c r="G50" s="67"/>
      <c r="H50" s="67"/>
      <c r="I50" s="67"/>
    </row>
    <row r="51" spans="1:9" ht="12.75" customHeight="1">
      <c r="A51" s="67"/>
      <c r="B51" s="67"/>
      <c r="C51" s="67"/>
      <c r="D51" s="67"/>
      <c r="E51" s="67"/>
      <c r="F51" s="128" t="s">
        <v>516</v>
      </c>
      <c r="G51" s="67"/>
      <c r="H51" s="67"/>
      <c r="I51" s="67"/>
    </row>
    <row r="52" spans="1:9" ht="12.75" customHeight="1">
      <c r="A52" s="67" t="s">
        <v>50</v>
      </c>
      <c r="B52" s="67"/>
      <c r="C52" s="67"/>
      <c r="D52" s="67"/>
      <c r="E52" s="67"/>
      <c r="F52" s="67"/>
      <c r="G52" s="67"/>
      <c r="H52" s="67"/>
      <c r="I52" s="67"/>
    </row>
    <row r="53" spans="1:9" ht="12.75" customHeight="1">
      <c r="A53" s="67"/>
      <c r="B53" s="67"/>
      <c r="C53" s="130" t="s">
        <v>51</v>
      </c>
      <c r="D53" s="67"/>
      <c r="E53" s="130"/>
      <c r="F53" s="130"/>
      <c r="G53" s="130"/>
      <c r="H53" s="67"/>
      <c r="I53" s="67"/>
    </row>
    <row r="54" spans="1:9" ht="15">
      <c r="A54" s="67"/>
      <c r="B54" s="67"/>
      <c r="C54" s="67"/>
      <c r="D54" s="67"/>
      <c r="E54" s="67"/>
      <c r="F54" s="67"/>
      <c r="G54" s="67"/>
      <c r="H54" s="67"/>
      <c r="I54" s="67"/>
    </row>
    <row r="55" s="67" customFormat="1" ht="15"/>
    <row r="56" spans="1:7" s="67" customFormat="1" ht="13.5" customHeight="1">
      <c r="A56" s="35"/>
      <c r="B56" s="156"/>
      <c r="C56" s="156"/>
      <c r="D56" s="156"/>
      <c r="E56" s="156"/>
      <c r="F56" s="35"/>
      <c r="G56" s="35"/>
    </row>
  </sheetData>
  <sheetProtection/>
  <mergeCells count="24">
    <mergeCell ref="F48:G48"/>
    <mergeCell ref="A11:I11"/>
    <mergeCell ref="B46:C46"/>
    <mergeCell ref="A33:F33"/>
    <mergeCell ref="B45:C45"/>
    <mergeCell ref="F45:G45"/>
    <mergeCell ref="A1:I1"/>
    <mergeCell ref="A2:I2"/>
    <mergeCell ref="A5:I5"/>
    <mergeCell ref="A10:I10"/>
    <mergeCell ref="A3:K3"/>
    <mergeCell ref="F44:G44"/>
    <mergeCell ref="A39:I39"/>
    <mergeCell ref="B41:C41"/>
    <mergeCell ref="F41:G41"/>
    <mergeCell ref="B47:C47"/>
    <mergeCell ref="F47:G47"/>
    <mergeCell ref="B43:C43"/>
    <mergeCell ref="F46:G46"/>
    <mergeCell ref="B42:C42"/>
    <mergeCell ref="A12:I12"/>
    <mergeCell ref="F42:G42"/>
    <mergeCell ref="A34:C34"/>
    <mergeCell ref="F43:G43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K53"/>
  <sheetViews>
    <sheetView zoomScalePageLayoutView="0" workbookViewId="0" topLeftCell="A28">
      <selection activeCell="G35" sqref="G35"/>
    </sheetView>
  </sheetViews>
  <sheetFormatPr defaultColWidth="9.140625" defaultRowHeight="15" outlineLevelCol="1"/>
  <cols>
    <col min="1" max="1" width="4.7109375" style="35" customWidth="1"/>
    <col min="2" max="2" width="46.8515625" style="35" customWidth="1"/>
    <col min="3" max="3" width="13.00390625" style="35" customWidth="1"/>
    <col min="4" max="4" width="13.421875" style="35" customWidth="1"/>
    <col min="5" max="5" width="14.00390625" style="35" customWidth="1"/>
    <col min="6" max="6" width="12.71093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7.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.7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4.5" customHeight="1"/>
    <row r="7" spans="1:6" s="67" customFormat="1" ht="16.5" customHeight="1">
      <c r="A7" s="67" t="s">
        <v>2</v>
      </c>
      <c r="F7" s="128" t="s">
        <v>77</v>
      </c>
    </row>
    <row r="8" spans="1:6" s="67" customFormat="1" ht="15">
      <c r="A8" s="67" t="s">
        <v>3</v>
      </c>
      <c r="F8" s="299" t="s">
        <v>78</v>
      </c>
    </row>
    <row r="9" s="67" customFormat="1" ht="7.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'[1]Высокая 4'!$G$36</f>
        <v>13760.64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'[1]Высокая 4'!$G$37</f>
        <v>45692.85519999999</v>
      </c>
      <c r="H15" s="62"/>
      <c r="I15" s="62"/>
    </row>
    <row r="16" s="67" customFormat="1" ht="8.25" customHeight="1"/>
    <row r="17" spans="1:7" s="74" customFormat="1" ht="52.5" customHeight="1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30.75" customHeight="1">
      <c r="A18" s="75" t="s">
        <v>14</v>
      </c>
      <c r="B18" s="41" t="s">
        <v>15</v>
      </c>
      <c r="C18" s="137">
        <f>C19+C20+C21+C22</f>
        <v>9.879999999999999</v>
      </c>
      <c r="D18" s="76">
        <v>212962.08</v>
      </c>
      <c r="E18" s="76">
        <v>228876.63</v>
      </c>
      <c r="F18" s="76">
        <f>D18</f>
        <v>212962.08</v>
      </c>
      <c r="G18" s="77">
        <f>D18-E18</f>
        <v>-15914.550000000017</v>
      </c>
      <c r="H18" s="14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74579.83773279353</v>
      </c>
      <c r="E19" s="83">
        <f>E18*I19</f>
        <v>80153.15180161945</v>
      </c>
      <c r="F19" s="83">
        <f>D19</f>
        <v>74579.83773279353</v>
      </c>
      <c r="G19" s="84">
        <f>D19-E19</f>
        <v>-5573.3140688259155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36427.724210526314</v>
      </c>
      <c r="E20" s="83">
        <f>E18*I20</f>
        <v>39149.949868421056</v>
      </c>
      <c r="F20" s="83">
        <f>D20</f>
        <v>36427.724210526314</v>
      </c>
      <c r="G20" s="84">
        <f>D20-E20</f>
        <v>-2722.2256578947417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36427.724210526314</v>
      </c>
      <c r="E21" s="83">
        <f>E18*I21</f>
        <v>39149.949868421056</v>
      </c>
      <c r="F21" s="83">
        <f>D21</f>
        <v>36427.724210526314</v>
      </c>
      <c r="G21" s="84">
        <f>D21-E21</f>
        <v>-2722.2256578947417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65526.79384615384</v>
      </c>
      <c r="E22" s="83">
        <f>E18*I22</f>
        <v>70423.57846153846</v>
      </c>
      <c r="F22" s="83">
        <f>D22</f>
        <v>65526.79384615384</v>
      </c>
      <c r="G22" s="84">
        <f>D22-E22</f>
        <v>-4896.7846153846185</v>
      </c>
      <c r="H22" s="147">
        <f>C22</f>
        <v>3.04</v>
      </c>
      <c r="I22" s="67">
        <f>H22/H18</f>
        <v>0.3076923076923077</v>
      </c>
    </row>
    <row r="23" spans="1:7" ht="15">
      <c r="A23" s="41" t="s">
        <v>25</v>
      </c>
      <c r="B23" s="142" t="s">
        <v>141</v>
      </c>
      <c r="C23" s="97">
        <v>0</v>
      </c>
      <c r="D23" s="77">
        <v>0</v>
      </c>
      <c r="E23" s="77">
        <v>0</v>
      </c>
      <c r="F23" s="77">
        <v>0</v>
      </c>
      <c r="G23" s="77">
        <f aca="true" t="shared" si="0" ref="G23:G32">D23-E23</f>
        <v>0</v>
      </c>
    </row>
    <row r="24" spans="1:7" ht="1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2" t="s">
        <v>168</v>
      </c>
      <c r="C25" s="143"/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7" ht="15">
      <c r="A26" s="41" t="s">
        <v>31</v>
      </c>
      <c r="B26" s="142" t="s">
        <v>119</v>
      </c>
      <c r="C26" s="97">
        <v>1.86</v>
      </c>
      <c r="D26" s="77">
        <v>40134.8</v>
      </c>
      <c r="E26" s="77">
        <v>43030.52</v>
      </c>
      <c r="F26" s="87">
        <f>F41</f>
        <v>179197.7752</v>
      </c>
      <c r="G26" s="77">
        <f t="shared" si="0"/>
        <v>-2895.719999999994</v>
      </c>
    </row>
    <row r="27" spans="1:7" ht="15">
      <c r="A27" s="41" t="s">
        <v>33</v>
      </c>
      <c r="B27" s="136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7" ht="15">
      <c r="A28" s="41" t="s">
        <v>35</v>
      </c>
      <c r="B28" s="136" t="s">
        <v>36</v>
      </c>
      <c r="C28" s="97"/>
      <c r="D28" s="77">
        <f>SUM(D29:D32)</f>
        <v>965190.98</v>
      </c>
      <c r="E28" s="77">
        <f>SUM(E29:E32)</f>
        <v>1044051.94</v>
      </c>
      <c r="F28" s="77">
        <f>SUM(F29:F32)</f>
        <v>965190.98</v>
      </c>
      <c r="G28" s="77">
        <f t="shared" si="0"/>
        <v>-78860.95999999996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19749.48</v>
      </c>
      <c r="E29" s="84">
        <v>20424.35</v>
      </c>
      <c r="F29" s="84">
        <f>D29</f>
        <v>19749.48</v>
      </c>
      <c r="G29" s="84">
        <f t="shared" si="0"/>
        <v>-674.869999999999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282073.63</v>
      </c>
      <c r="E30" s="84">
        <v>328264.57</v>
      </c>
      <c r="F30" s="84">
        <f>D30</f>
        <v>282073.63</v>
      </c>
      <c r="G30" s="84">
        <f t="shared" si="0"/>
        <v>-46190.94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4">
        <f>D31</f>
        <v>0</v>
      </c>
      <c r="G31" s="84">
        <f t="shared" si="0"/>
        <v>0</v>
      </c>
    </row>
    <row r="32" spans="1:9" ht="15.75" thickBot="1">
      <c r="A32" s="34" t="s">
        <v>41</v>
      </c>
      <c r="B32" s="34" t="s">
        <v>43</v>
      </c>
      <c r="C32" s="293" t="s">
        <v>380</v>
      </c>
      <c r="D32" s="84">
        <v>663367.87</v>
      </c>
      <c r="E32" s="84">
        <v>695363.02</v>
      </c>
      <c r="F32" s="84">
        <f>D32</f>
        <v>663367.87</v>
      </c>
      <c r="G32" s="84">
        <f t="shared" si="0"/>
        <v>-31995.150000000023</v>
      </c>
      <c r="H32" s="101"/>
      <c r="I32" s="101"/>
    </row>
    <row r="33" spans="1:10" s="102" customFormat="1" ht="14.25" thickBot="1">
      <c r="A33" s="378" t="s">
        <v>383</v>
      </c>
      <c r="B33" s="379"/>
      <c r="C33" s="379"/>
      <c r="D33" s="65">
        <v>523816.96</v>
      </c>
      <c r="E33" s="66"/>
      <c r="F33" s="66"/>
      <c r="G33" s="66"/>
      <c r="H33" s="62"/>
      <c r="I33" s="62"/>
      <c r="J33" s="101"/>
    </row>
    <row r="34" spans="1:9" s="67" customFormat="1" ht="15.75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386</v>
      </c>
      <c r="B35" s="64"/>
      <c r="C35" s="64"/>
      <c r="D35" s="69"/>
      <c r="E35" s="70"/>
      <c r="F35" s="70"/>
      <c r="G35" s="146">
        <f>G14+E27-F27</f>
        <v>13760.64</v>
      </c>
      <c r="H35" s="62"/>
      <c r="I35" s="62"/>
    </row>
    <row r="36" spans="1:9" s="67" customFormat="1" ht="15.75" thickBot="1">
      <c r="A36" s="63" t="s">
        <v>387</v>
      </c>
      <c r="B36" s="64"/>
      <c r="C36" s="64"/>
      <c r="D36" s="69"/>
      <c r="E36" s="70"/>
      <c r="F36" s="70"/>
      <c r="G36" s="146">
        <f>G15+E26-F26</f>
        <v>-90474.40000000002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s="67" customFormat="1" ht="32.25" customHeight="1">
      <c r="A38" s="433" t="s">
        <v>44</v>
      </c>
      <c r="B38" s="433"/>
      <c r="C38" s="433"/>
      <c r="D38" s="433"/>
      <c r="E38" s="433"/>
      <c r="F38" s="433"/>
      <c r="G38" s="433"/>
      <c r="H38" s="433"/>
      <c r="I38" s="433"/>
    </row>
    <row r="40" spans="1:9" ht="28.5">
      <c r="A40" s="105" t="s">
        <v>11</v>
      </c>
      <c r="B40" s="394" t="s">
        <v>45</v>
      </c>
      <c r="C40" s="405"/>
      <c r="D40" s="105" t="s">
        <v>170</v>
      </c>
      <c r="E40" s="105" t="s">
        <v>169</v>
      </c>
      <c r="F40" s="394" t="s">
        <v>46</v>
      </c>
      <c r="G40" s="405"/>
      <c r="H40" s="173"/>
      <c r="I40" s="173"/>
    </row>
    <row r="41" spans="1:9" s="173" customFormat="1" ht="28.5" customHeight="1">
      <c r="A41" s="109" t="s">
        <v>47</v>
      </c>
      <c r="B41" s="396" t="s">
        <v>114</v>
      </c>
      <c r="C41" s="399"/>
      <c r="D41" s="111"/>
      <c r="E41" s="111"/>
      <c r="F41" s="411">
        <f>SUM(F42:G48)</f>
        <v>179197.7752</v>
      </c>
      <c r="G41" s="404"/>
      <c r="H41" s="115"/>
      <c r="I41" s="115"/>
    </row>
    <row r="42" spans="1:9" s="173" customFormat="1" ht="15">
      <c r="A42" s="34" t="s">
        <v>16</v>
      </c>
      <c r="B42" s="413" t="s">
        <v>528</v>
      </c>
      <c r="C42" s="442"/>
      <c r="D42" s="119" t="s">
        <v>248</v>
      </c>
      <c r="E42" s="119">
        <v>1</v>
      </c>
      <c r="F42" s="410">
        <v>690</v>
      </c>
      <c r="G42" s="410"/>
      <c r="H42" s="115"/>
      <c r="I42" s="115"/>
    </row>
    <row r="43" spans="1:9" s="173" customFormat="1" ht="15.75" customHeight="1">
      <c r="A43" s="34" t="s">
        <v>18</v>
      </c>
      <c r="B43" s="413" t="s">
        <v>552</v>
      </c>
      <c r="C43" s="442"/>
      <c r="D43" s="119" t="s">
        <v>240</v>
      </c>
      <c r="E43" s="119">
        <v>0.07</v>
      </c>
      <c r="F43" s="410">
        <v>10996.5</v>
      </c>
      <c r="G43" s="410"/>
      <c r="H43" s="115"/>
      <c r="I43" s="115"/>
    </row>
    <row r="44" spans="1:9" s="173" customFormat="1" ht="15" customHeight="1">
      <c r="A44" s="34" t="s">
        <v>20</v>
      </c>
      <c r="B44" s="413" t="s">
        <v>553</v>
      </c>
      <c r="C44" s="442"/>
      <c r="D44" s="119" t="s">
        <v>265</v>
      </c>
      <c r="E44" s="122">
        <v>0.04</v>
      </c>
      <c r="F44" s="410">
        <v>117680.97</v>
      </c>
      <c r="G44" s="410"/>
      <c r="H44" s="115"/>
      <c r="I44" s="115"/>
    </row>
    <row r="45" spans="1:9" s="173" customFormat="1" ht="15" customHeight="1">
      <c r="A45" s="34" t="s">
        <v>22</v>
      </c>
      <c r="B45" s="413" t="s">
        <v>786</v>
      </c>
      <c r="C45" s="442"/>
      <c r="D45" s="119"/>
      <c r="E45" s="122"/>
      <c r="F45" s="410">
        <v>18000</v>
      </c>
      <c r="G45" s="410"/>
      <c r="H45" s="115"/>
      <c r="I45" s="115"/>
    </row>
    <row r="46" spans="1:9" s="173" customFormat="1" ht="15">
      <c r="A46" s="34" t="s">
        <v>24</v>
      </c>
      <c r="B46" s="413" t="s">
        <v>798</v>
      </c>
      <c r="C46" s="442"/>
      <c r="D46" s="119"/>
      <c r="E46" s="119"/>
      <c r="F46" s="410">
        <v>9000</v>
      </c>
      <c r="G46" s="410"/>
      <c r="H46" s="115"/>
      <c r="I46" s="115"/>
    </row>
    <row r="47" spans="1:9" s="173" customFormat="1" ht="15">
      <c r="A47" s="34" t="s">
        <v>106</v>
      </c>
      <c r="B47" s="413" t="s">
        <v>806</v>
      </c>
      <c r="C47" s="442"/>
      <c r="D47" s="119"/>
      <c r="E47" s="119"/>
      <c r="F47" s="410">
        <v>22400</v>
      </c>
      <c r="G47" s="410"/>
      <c r="H47" s="115"/>
      <c r="I47" s="115"/>
    </row>
    <row r="48" spans="1:7" ht="12.75" customHeight="1">
      <c r="A48" s="34" t="s">
        <v>106</v>
      </c>
      <c r="B48" s="150" t="s">
        <v>198</v>
      </c>
      <c r="C48" s="151"/>
      <c r="D48" s="119"/>
      <c r="E48" s="119"/>
      <c r="F48" s="410">
        <f>E26*1%</f>
        <v>430.30519999999996</v>
      </c>
      <c r="G48" s="410"/>
    </row>
    <row r="49" spans="1:9" ht="12.75" customHeight="1">
      <c r="A49" s="67"/>
      <c r="B49" s="67"/>
      <c r="C49" s="67"/>
      <c r="D49" s="67"/>
      <c r="E49" s="67"/>
      <c r="F49" s="67"/>
      <c r="G49" s="67"/>
      <c r="H49" s="67"/>
      <c r="I49" s="67"/>
    </row>
    <row r="50" spans="1:6" s="67" customFormat="1" ht="15">
      <c r="A50" s="67" t="s">
        <v>55</v>
      </c>
      <c r="C50" s="67" t="s">
        <v>49</v>
      </c>
      <c r="F50" s="67" t="s">
        <v>93</v>
      </c>
    </row>
    <row r="51" s="67" customFormat="1" ht="15">
      <c r="F51" s="128" t="s">
        <v>516</v>
      </c>
    </row>
    <row r="52" s="67" customFormat="1" ht="13.5" customHeight="1">
      <c r="A52" s="67" t="s">
        <v>50</v>
      </c>
    </row>
    <row r="53" spans="3:7" s="67" customFormat="1" ht="15">
      <c r="C53" s="130" t="s">
        <v>51</v>
      </c>
      <c r="E53" s="130"/>
      <c r="F53" s="130"/>
      <c r="G53" s="130"/>
    </row>
    <row r="54" s="67" customFormat="1" ht="12" customHeight="1"/>
    <row r="55" s="67" customFormat="1" ht="15"/>
    <row r="56" s="67" customFormat="1" ht="15"/>
  </sheetData>
  <sheetProtection/>
  <mergeCells count="26">
    <mergeCell ref="B41:C41"/>
    <mergeCell ref="A11:I11"/>
    <mergeCell ref="B42:C42"/>
    <mergeCell ref="B43:C43"/>
    <mergeCell ref="B40:C40"/>
    <mergeCell ref="F40:G40"/>
    <mergeCell ref="A33:C33"/>
    <mergeCell ref="A38:I38"/>
    <mergeCell ref="F41:G41"/>
    <mergeCell ref="F42:G42"/>
    <mergeCell ref="F43:G43"/>
    <mergeCell ref="F48:G48"/>
    <mergeCell ref="B46:C46"/>
    <mergeCell ref="B45:C45"/>
    <mergeCell ref="F45:G45"/>
    <mergeCell ref="B47:C47"/>
    <mergeCell ref="F47:G47"/>
    <mergeCell ref="F44:G44"/>
    <mergeCell ref="F46:G46"/>
    <mergeCell ref="B44:C44"/>
    <mergeCell ref="A1:I1"/>
    <mergeCell ref="A2:I2"/>
    <mergeCell ref="A5:I5"/>
    <mergeCell ref="A10:I10"/>
    <mergeCell ref="A3:K3"/>
    <mergeCell ref="A12:I12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K49"/>
  <sheetViews>
    <sheetView zoomScalePageLayoutView="0" workbookViewId="0" topLeftCell="A26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2.8515625" style="35" customWidth="1"/>
    <col min="3" max="4" width="13.57421875" style="35" customWidth="1"/>
    <col min="5" max="5" width="12.140625" style="35" customWidth="1"/>
    <col min="6" max="6" width="12.710937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6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6.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5.25" customHeight="1"/>
    <row r="7" spans="1:6" s="67" customFormat="1" ht="16.5" customHeight="1">
      <c r="A7" s="67" t="s">
        <v>2</v>
      </c>
      <c r="F7" s="128" t="s">
        <v>79</v>
      </c>
    </row>
    <row r="8" spans="1:6" s="67" customFormat="1" ht="15">
      <c r="A8" s="67" t="s">
        <v>3</v>
      </c>
      <c r="F8" s="299" t="s">
        <v>80</v>
      </c>
    </row>
    <row r="9" s="67" customFormat="1" ht="6.7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403</v>
      </c>
      <c r="B14" s="64"/>
      <c r="C14" s="64"/>
      <c r="D14" s="69"/>
      <c r="E14" s="70"/>
      <c r="F14" s="70"/>
      <c r="G14" s="146">
        <f>'[1]Пухова 15'!$G$36</f>
        <v>5572.86</v>
      </c>
      <c r="H14" s="62"/>
      <c r="I14" s="62"/>
    </row>
    <row r="15" spans="1:9" s="67" customFormat="1" ht="15.75" thickBot="1">
      <c r="A15" s="63" t="s">
        <v>404</v>
      </c>
      <c r="B15" s="64"/>
      <c r="C15" s="64"/>
      <c r="D15" s="69"/>
      <c r="E15" s="70"/>
      <c r="F15" s="70"/>
      <c r="G15" s="146">
        <f>'[1]Пухова 15'!$G$37</f>
        <v>-31553.679300000007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29.25">
      <c r="A18" s="75" t="s">
        <v>14</v>
      </c>
      <c r="B18" s="41" t="s">
        <v>15</v>
      </c>
      <c r="C18" s="137">
        <f>C19+C20+C21+C22</f>
        <v>9.34</v>
      </c>
      <c r="D18" s="76">
        <v>41439.16</v>
      </c>
      <c r="E18" s="76">
        <v>41858.47</v>
      </c>
      <c r="F18" s="76">
        <f>D18</f>
        <v>41439.16</v>
      </c>
      <c r="G18" s="77">
        <f>D18-E18</f>
        <v>-419.3099999999977</v>
      </c>
      <c r="H18" s="147">
        <f>C18</f>
        <v>9.34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15351.123511777305</v>
      </c>
      <c r="E19" s="83">
        <f>E18*I19</f>
        <v>15506.45676659529</v>
      </c>
      <c r="F19" s="83">
        <f>D19</f>
        <v>15351.123511777305</v>
      </c>
      <c r="G19" s="84">
        <f>D19-E19</f>
        <v>-155.33325481798602</v>
      </c>
      <c r="H19" s="147">
        <f>C19</f>
        <v>3.46</v>
      </c>
      <c r="I19" s="67">
        <f>H19/H18</f>
        <v>0.37044967880085655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7498.092119914348</v>
      </c>
      <c r="E20" s="83">
        <f>E18*I20</f>
        <v>7573.962987152035</v>
      </c>
      <c r="F20" s="83">
        <f>D20</f>
        <v>7498.092119914348</v>
      </c>
      <c r="G20" s="84">
        <f>D20-E20</f>
        <v>-75.87086723768698</v>
      </c>
      <c r="H20" s="147">
        <f>C20</f>
        <v>1.69</v>
      </c>
      <c r="I20" s="67">
        <f>H20/H18</f>
        <v>0.1809421841541756</v>
      </c>
    </row>
    <row r="21" spans="1:9" s="67" customFormat="1" ht="15">
      <c r="A21" s="81" t="s">
        <v>20</v>
      </c>
      <c r="B21" s="34" t="s">
        <v>21</v>
      </c>
      <c r="C21" s="99">
        <v>1.15</v>
      </c>
      <c r="D21" s="83">
        <f>D18*I21</f>
        <v>5102.2520342612415</v>
      </c>
      <c r="E21" s="83">
        <f>E18*I21</f>
        <v>5153.880139186295</v>
      </c>
      <c r="F21" s="83">
        <f>D21</f>
        <v>5102.2520342612415</v>
      </c>
      <c r="G21" s="84">
        <f>D21-E21</f>
        <v>-51.628104925053776</v>
      </c>
      <c r="H21" s="147">
        <f>C21</f>
        <v>1.15</v>
      </c>
      <c r="I21" s="67">
        <f>H21/H18</f>
        <v>0.12312633832976444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13487.692334047111</v>
      </c>
      <c r="E22" s="83">
        <f>E18*I22</f>
        <v>13624.170107066382</v>
      </c>
      <c r="F22" s="83">
        <f>D22</f>
        <v>13487.692334047111</v>
      </c>
      <c r="G22" s="84">
        <f>D22-E22</f>
        <v>-136.4777730192709</v>
      </c>
      <c r="H22" s="147">
        <f>C22</f>
        <v>3.04</v>
      </c>
      <c r="I22" s="67">
        <f>H22/H18</f>
        <v>0.32548179871520344</v>
      </c>
    </row>
    <row r="23" spans="1:7" ht="15">
      <c r="A23" s="41" t="s">
        <v>25</v>
      </c>
      <c r="B23" s="142" t="s">
        <v>141</v>
      </c>
      <c r="C23" s="97">
        <v>0</v>
      </c>
      <c r="D23" s="77">
        <v>0</v>
      </c>
      <c r="E23" s="77">
        <v>0</v>
      </c>
      <c r="F23" s="77">
        <v>0</v>
      </c>
      <c r="G23" s="77">
        <f aca="true" t="shared" si="0" ref="G23:G28">D23-E23</f>
        <v>0</v>
      </c>
    </row>
    <row r="24" spans="1:7" ht="1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2" t="s">
        <v>168</v>
      </c>
      <c r="C25" s="143">
        <v>12.54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7" ht="15">
      <c r="A26" s="41" t="s">
        <v>31</v>
      </c>
      <c r="B26" s="142" t="s">
        <v>119</v>
      </c>
      <c r="C26" s="97">
        <v>1.66</v>
      </c>
      <c r="D26" s="77">
        <v>7332</v>
      </c>
      <c r="E26" s="77">
        <v>7452.62</v>
      </c>
      <c r="F26" s="87">
        <f>F42</f>
        <v>74.5262</v>
      </c>
      <c r="G26" s="77">
        <f t="shared" si="0"/>
        <v>-120.61999999999989</v>
      </c>
    </row>
    <row r="27" spans="1:7" ht="15">
      <c r="A27" s="41" t="s">
        <v>33</v>
      </c>
      <c r="B27" s="136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7" ht="15">
      <c r="A28" s="41" t="s">
        <v>35</v>
      </c>
      <c r="B28" s="136" t="s">
        <v>36</v>
      </c>
      <c r="C28" s="97"/>
      <c r="D28" s="77">
        <f>SUM(D29:D32)</f>
        <v>31258.199999999997</v>
      </c>
      <c r="E28" s="77">
        <f>SUM(E29:E32)</f>
        <v>31610.030000000002</v>
      </c>
      <c r="F28" s="77">
        <f>SUM(F29:F32)</f>
        <v>31258.199999999997</v>
      </c>
      <c r="G28" s="77">
        <f t="shared" si="0"/>
        <v>-351.8300000000054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1858.08</v>
      </c>
      <c r="E29" s="84">
        <v>1888.95</v>
      </c>
      <c r="F29" s="84">
        <f>D29</f>
        <v>1858.08</v>
      </c>
      <c r="G29" s="84">
        <f>D29-E29</f>
        <v>-30.87000000000012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29400.12</v>
      </c>
      <c r="E30" s="84">
        <v>29721.08</v>
      </c>
      <c r="F30" s="84">
        <f>D30</f>
        <v>29400.12</v>
      </c>
      <c r="G30" s="84">
        <f>D30-E30</f>
        <v>-320.96000000000276</v>
      </c>
    </row>
    <row r="31" spans="1:7" ht="15">
      <c r="A31" s="34" t="s">
        <v>42</v>
      </c>
      <c r="B31" s="34" t="s">
        <v>40</v>
      </c>
      <c r="C31" s="196"/>
      <c r="D31" s="84">
        <v>0</v>
      </c>
      <c r="E31" s="84">
        <v>0</v>
      </c>
      <c r="F31" s="84">
        <f>D31</f>
        <v>0</v>
      </c>
      <c r="G31" s="84">
        <f>D31-E31</f>
        <v>0</v>
      </c>
    </row>
    <row r="32" spans="1:9" ht="15">
      <c r="A32" s="34" t="s">
        <v>41</v>
      </c>
      <c r="B32" s="34" t="s">
        <v>43</v>
      </c>
      <c r="C32" s="99"/>
      <c r="D32" s="84">
        <v>0</v>
      </c>
      <c r="E32" s="84">
        <v>0</v>
      </c>
      <c r="F32" s="84">
        <f>D32</f>
        <v>0</v>
      </c>
      <c r="G32" s="84">
        <f>D32-E32</f>
        <v>0</v>
      </c>
      <c r="H32" s="101"/>
      <c r="I32" s="101"/>
    </row>
    <row r="33" spans="1:9" ht="15.75" thickBot="1">
      <c r="A33" s="363" t="s">
        <v>378</v>
      </c>
      <c r="B33" s="364"/>
      <c r="C33" s="364"/>
      <c r="D33" s="365"/>
      <c r="E33" s="365"/>
      <c r="F33" s="365"/>
      <c r="G33" s="172"/>
      <c r="H33" s="101"/>
      <c r="I33" s="101"/>
    </row>
    <row r="34" spans="1:10" s="102" customFormat="1" ht="14.25" thickBot="1">
      <c r="A34" s="378" t="s">
        <v>383</v>
      </c>
      <c r="B34" s="379"/>
      <c r="C34" s="379"/>
      <c r="D34" s="65">
        <v>6805.94</v>
      </c>
      <c r="E34" s="66"/>
      <c r="F34" s="66"/>
      <c r="G34" s="66"/>
      <c r="H34" s="62"/>
      <c r="I34" s="62"/>
      <c r="J34" s="101"/>
    </row>
    <row r="35" spans="1:9" s="67" customFormat="1" ht="15.75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5572.86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-24175.58550000001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24.75" customHeight="1">
      <c r="A39" s="433" t="s">
        <v>44</v>
      </c>
      <c r="B39" s="433"/>
      <c r="C39" s="433"/>
      <c r="D39" s="433"/>
      <c r="E39" s="433"/>
      <c r="F39" s="433"/>
      <c r="G39" s="433"/>
      <c r="H39" s="433"/>
      <c r="I39" s="433"/>
    </row>
    <row r="40" ht="4.5" customHeight="1"/>
    <row r="41" spans="1:9" ht="26.25" customHeight="1">
      <c r="A41" s="105" t="s">
        <v>11</v>
      </c>
      <c r="B41" s="394" t="s">
        <v>45</v>
      </c>
      <c r="C41" s="405"/>
      <c r="D41" s="105" t="s">
        <v>170</v>
      </c>
      <c r="E41" s="105" t="s">
        <v>169</v>
      </c>
      <c r="F41" s="394" t="s">
        <v>46</v>
      </c>
      <c r="G41" s="405"/>
      <c r="H41" s="173"/>
      <c r="I41" s="173"/>
    </row>
    <row r="42" spans="1:9" ht="15">
      <c r="A42" s="109" t="s">
        <v>47</v>
      </c>
      <c r="B42" s="396" t="s">
        <v>114</v>
      </c>
      <c r="C42" s="399"/>
      <c r="D42" s="111"/>
      <c r="E42" s="111"/>
      <c r="F42" s="411">
        <f>SUM(F43:G44)</f>
        <v>74.5262</v>
      </c>
      <c r="G42" s="404"/>
      <c r="H42" s="115"/>
      <c r="I42" s="115"/>
    </row>
    <row r="43" spans="1:9" ht="13.5" customHeight="1">
      <c r="A43" s="34" t="s">
        <v>16</v>
      </c>
      <c r="B43" s="369"/>
      <c r="C43" s="415"/>
      <c r="D43" s="111"/>
      <c r="E43" s="154"/>
      <c r="F43" s="398"/>
      <c r="G43" s="398"/>
      <c r="H43" s="115"/>
      <c r="I43" s="115"/>
    </row>
    <row r="44" spans="1:9" s="173" customFormat="1" ht="15">
      <c r="A44" s="34" t="s">
        <v>18</v>
      </c>
      <c r="B44" s="150" t="s">
        <v>198</v>
      </c>
      <c r="C44" s="151"/>
      <c r="D44" s="119"/>
      <c r="E44" s="119"/>
      <c r="F44" s="443">
        <f>E26*1%</f>
        <v>74.5262</v>
      </c>
      <c r="G44" s="443"/>
      <c r="H44" s="35"/>
      <c r="I44" s="35"/>
    </row>
    <row r="45" spans="1:9" s="115" customFormat="1" ht="14.25" customHeight="1">
      <c r="A45" s="67"/>
      <c r="B45" s="67"/>
      <c r="C45" s="67"/>
      <c r="D45" s="67"/>
      <c r="E45" s="67"/>
      <c r="F45" s="67"/>
      <c r="G45" s="67"/>
      <c r="H45" s="67"/>
      <c r="I45" s="67"/>
    </row>
    <row r="46" spans="1:9" ht="14.25" customHeight="1">
      <c r="A46" s="67" t="s">
        <v>55</v>
      </c>
      <c r="B46" s="67"/>
      <c r="C46" s="67" t="s">
        <v>49</v>
      </c>
      <c r="D46" s="67"/>
      <c r="E46" s="67"/>
      <c r="F46" s="67" t="s">
        <v>93</v>
      </c>
      <c r="G46" s="67"/>
      <c r="H46" s="67"/>
      <c r="I46" s="67"/>
    </row>
    <row r="47" spans="1:9" ht="14.25" customHeight="1">
      <c r="A47" s="67"/>
      <c r="B47" s="67"/>
      <c r="C47" s="67"/>
      <c r="D47" s="67"/>
      <c r="E47" s="67"/>
      <c r="F47" s="128" t="s">
        <v>516</v>
      </c>
      <c r="G47" s="67"/>
      <c r="H47" s="67"/>
      <c r="I47" s="67"/>
    </row>
    <row r="48" spans="1:9" ht="14.25" customHeight="1">
      <c r="A48" s="67" t="s">
        <v>50</v>
      </c>
      <c r="B48" s="67"/>
      <c r="C48" s="67"/>
      <c r="D48" s="67"/>
      <c r="E48" s="67"/>
      <c r="F48" s="67"/>
      <c r="G48" s="67"/>
      <c r="H48" s="67"/>
      <c r="I48" s="67"/>
    </row>
    <row r="49" spans="3:7" s="67" customFormat="1" ht="15">
      <c r="C49" s="130" t="s">
        <v>51</v>
      </c>
      <c r="E49" s="130"/>
      <c r="F49" s="130"/>
      <c r="G49" s="130"/>
    </row>
    <row r="50" s="67" customFormat="1" ht="15"/>
  </sheetData>
  <sheetProtection/>
  <mergeCells count="17">
    <mergeCell ref="A33:F33"/>
    <mergeCell ref="A12:I12"/>
    <mergeCell ref="A11:I11"/>
    <mergeCell ref="A1:I1"/>
    <mergeCell ref="A2:I2"/>
    <mergeCell ref="A5:I5"/>
    <mergeCell ref="A10:I10"/>
    <mergeCell ref="A3:K3"/>
    <mergeCell ref="F44:G44"/>
    <mergeCell ref="A34:C34"/>
    <mergeCell ref="A39:I39"/>
    <mergeCell ref="B41:C41"/>
    <mergeCell ref="F41:G41"/>
    <mergeCell ref="B42:C42"/>
    <mergeCell ref="F42:G42"/>
    <mergeCell ref="B43:C43"/>
    <mergeCell ref="F43:G4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P52"/>
  <sheetViews>
    <sheetView zoomScale="98" zoomScaleNormal="98" zoomScalePageLayoutView="0" workbookViewId="0" topLeftCell="A29">
      <selection activeCell="G37" sqref="G37"/>
    </sheetView>
  </sheetViews>
  <sheetFormatPr defaultColWidth="9.140625" defaultRowHeight="15" outlineLevelCol="1"/>
  <cols>
    <col min="1" max="1" width="5.00390625" style="35" customWidth="1"/>
    <col min="2" max="2" width="47.28125" style="35" customWidth="1"/>
    <col min="3" max="3" width="13.57421875" style="35" customWidth="1"/>
    <col min="4" max="4" width="13.7109375" style="35" customWidth="1"/>
    <col min="5" max="5" width="13.57421875" style="35" customWidth="1"/>
    <col min="6" max="6" width="14.140625" style="35" customWidth="1"/>
    <col min="7" max="7" width="13.421875" style="35" customWidth="1"/>
    <col min="8" max="8" width="10.421875" style="35" hidden="1" customWidth="1" outlineLevel="1"/>
    <col min="9" max="9" width="12.28125" style="35" hidden="1" customWidth="1" outlineLevel="1"/>
    <col min="10" max="12" width="9.140625" style="35" hidden="1" customWidth="1" outlineLevel="1"/>
    <col min="13" max="13" width="9.140625" style="35" customWidth="1" collapsed="1"/>
    <col min="14" max="14" width="9.140625" style="35" customWidth="1"/>
    <col min="15" max="15" width="13.28125" style="35" customWidth="1"/>
    <col min="16" max="16" width="11.421875" style="35" bestFit="1" customWidth="1"/>
    <col min="17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5.2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4.5" customHeight="1"/>
    <row r="7" spans="1:6" s="67" customFormat="1" ht="16.5" customHeight="1">
      <c r="A7" s="67" t="s">
        <v>2</v>
      </c>
      <c r="F7" s="128" t="s">
        <v>81</v>
      </c>
    </row>
    <row r="8" spans="1:16" s="67" customFormat="1" ht="15">
      <c r="A8" s="67" t="s">
        <v>3</v>
      </c>
      <c r="F8" s="299" t="s">
        <v>405</v>
      </c>
      <c r="H8" s="67" t="s">
        <v>271</v>
      </c>
      <c r="I8" s="204">
        <v>128.5</v>
      </c>
      <c r="J8" s="204">
        <v>3216.7</v>
      </c>
      <c r="K8" s="204">
        <f>I8+J8</f>
        <v>3345.2</v>
      </c>
      <c r="P8" s="127"/>
    </row>
    <row r="9" s="67" customFormat="1" ht="3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'[1]Пухова 17'!$G$37</f>
        <v>38596.57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'[1]Пухова 17'!$G$38</f>
        <v>-430039.06429999997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29.25">
      <c r="A18" s="75" t="s">
        <v>14</v>
      </c>
      <c r="B18" s="41" t="s">
        <v>15</v>
      </c>
      <c r="C18" s="137">
        <f>C19+C20+C21+C22</f>
        <v>9.879999999999999</v>
      </c>
      <c r="D18" s="76">
        <v>394221.5</v>
      </c>
      <c r="E18" s="76">
        <v>382197.44</v>
      </c>
      <c r="F18" s="76">
        <f aca="true" t="shared" si="0" ref="F18:F25">D18</f>
        <v>394221.5</v>
      </c>
      <c r="G18" s="77">
        <f>D18-E18</f>
        <v>12024.059999999998</v>
      </c>
      <c r="H18" s="14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138057.32692307694</v>
      </c>
      <c r="E19" s="83">
        <f>E18*I19</f>
        <v>133846.47190283402</v>
      </c>
      <c r="F19" s="83">
        <f t="shared" si="0"/>
        <v>138057.32692307694</v>
      </c>
      <c r="G19" s="84">
        <f>D19-E19</f>
        <v>4210.855020242918</v>
      </c>
      <c r="H19" s="147">
        <f>C19</f>
        <v>3.46</v>
      </c>
      <c r="I19" s="67">
        <f>H19/H18</f>
        <v>0.3502024291497976</v>
      </c>
    </row>
    <row r="20" spans="1:9" s="67" customFormat="1" ht="15" customHeight="1">
      <c r="A20" s="81" t="s">
        <v>18</v>
      </c>
      <c r="B20" s="34" t="s">
        <v>19</v>
      </c>
      <c r="C20" s="99">
        <v>1.69</v>
      </c>
      <c r="D20" s="83">
        <f>D18*I20</f>
        <v>67432.625</v>
      </c>
      <c r="E20" s="83">
        <f>E18*I20</f>
        <v>65375.87789473684</v>
      </c>
      <c r="F20" s="83">
        <f t="shared" si="0"/>
        <v>67432.625</v>
      </c>
      <c r="G20" s="84">
        <f>D20-E20</f>
        <v>2056.747105263159</v>
      </c>
      <c r="H20" s="147">
        <f>C20</f>
        <v>1.69</v>
      </c>
      <c r="I20" s="67">
        <f>H20/H18</f>
        <v>0.17105263157894737</v>
      </c>
    </row>
    <row r="21" spans="1:9" s="67" customFormat="1" ht="15" customHeight="1">
      <c r="A21" s="81" t="s">
        <v>20</v>
      </c>
      <c r="B21" s="34" t="s">
        <v>21</v>
      </c>
      <c r="C21" s="99">
        <v>1.69</v>
      </c>
      <c r="D21" s="83">
        <f>D18*I21</f>
        <v>67432.625</v>
      </c>
      <c r="E21" s="83">
        <f>E18*I21</f>
        <v>65375.87789473684</v>
      </c>
      <c r="F21" s="83">
        <f t="shared" si="0"/>
        <v>67432.625</v>
      </c>
      <c r="G21" s="84">
        <f>D21-E21</f>
        <v>2056.747105263159</v>
      </c>
      <c r="H21" s="147">
        <f>C21</f>
        <v>1.69</v>
      </c>
      <c r="I21" s="67">
        <f>H21/H18</f>
        <v>0.17105263157894737</v>
      </c>
    </row>
    <row r="22" spans="1:9" s="67" customFormat="1" ht="15" customHeight="1">
      <c r="A22" s="81" t="s">
        <v>22</v>
      </c>
      <c r="B22" s="34" t="s">
        <v>23</v>
      </c>
      <c r="C22" s="99">
        <v>3.04</v>
      </c>
      <c r="D22" s="83">
        <f>D18*I22</f>
        <v>121298.92307692308</v>
      </c>
      <c r="E22" s="83">
        <f>E18*I22</f>
        <v>117599.21230769232</v>
      </c>
      <c r="F22" s="83">
        <f t="shared" si="0"/>
        <v>121298.92307692308</v>
      </c>
      <c r="G22" s="84">
        <f>D22-E22</f>
        <v>3699.710769230762</v>
      </c>
      <c r="H22" s="147">
        <f>C22</f>
        <v>3.04</v>
      </c>
      <c r="I22" s="67">
        <f>H22/H18</f>
        <v>0.3076923076923077</v>
      </c>
    </row>
    <row r="23" spans="1:7" ht="25.5" customHeight="1">
      <c r="A23" s="41" t="s">
        <v>25</v>
      </c>
      <c r="B23" s="142" t="s">
        <v>245</v>
      </c>
      <c r="C23" s="46" t="s">
        <v>406</v>
      </c>
      <c r="D23" s="77">
        <v>28080</v>
      </c>
      <c r="E23" s="77">
        <v>27363.96</v>
      </c>
      <c r="F23" s="77">
        <f>D23</f>
        <v>28080</v>
      </c>
      <c r="G23" s="77">
        <f aca="true" t="shared" si="1" ref="G23:G33">D23-E23</f>
        <v>716.0400000000009</v>
      </c>
    </row>
    <row r="24" spans="1:7" ht="15" customHeight="1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 customHeight="1">
      <c r="A25" s="41" t="s">
        <v>29</v>
      </c>
      <c r="B25" s="142" t="s">
        <v>168</v>
      </c>
      <c r="C25" s="205" t="s">
        <v>395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13" ht="15" customHeight="1">
      <c r="A26" s="41" t="s">
        <v>31</v>
      </c>
      <c r="B26" s="142" t="s">
        <v>119</v>
      </c>
      <c r="C26" s="97">
        <v>3</v>
      </c>
      <c r="D26" s="77">
        <v>69491.52</v>
      </c>
      <c r="E26" s="77">
        <v>69496.14</v>
      </c>
      <c r="F26" s="87">
        <f>F43</f>
        <v>2180.3014</v>
      </c>
      <c r="G26" s="77">
        <f t="shared" si="1"/>
        <v>-4.619999999995343</v>
      </c>
      <c r="M26" s="161"/>
    </row>
    <row r="27" spans="1:7" ht="15" customHeight="1">
      <c r="A27" s="41" t="s">
        <v>33</v>
      </c>
      <c r="B27" s="136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 customHeight="1">
      <c r="A28" s="41" t="s">
        <v>35</v>
      </c>
      <c r="B28" s="136" t="s">
        <v>36</v>
      </c>
      <c r="C28" s="97"/>
      <c r="D28" s="77">
        <f>SUM(D29:D32)</f>
        <v>1258909.6</v>
      </c>
      <c r="E28" s="77">
        <f>SUM(E29:E32)</f>
        <v>1253214.69</v>
      </c>
      <c r="F28" s="77">
        <f>SUM(F29:F32)</f>
        <v>1258909.6</v>
      </c>
      <c r="G28" s="77">
        <f t="shared" si="1"/>
        <v>5694.910000000149</v>
      </c>
    </row>
    <row r="29" spans="1:7" ht="15" customHeight="1">
      <c r="A29" s="34" t="s">
        <v>37</v>
      </c>
      <c r="B29" s="34" t="s">
        <v>172</v>
      </c>
      <c r="C29" s="293" t="s">
        <v>379</v>
      </c>
      <c r="D29" s="84">
        <v>32560.68</v>
      </c>
      <c r="E29" s="84">
        <v>32644.43</v>
      </c>
      <c r="F29" s="84">
        <f>D29</f>
        <v>32560.68</v>
      </c>
      <c r="G29" s="84">
        <f t="shared" si="1"/>
        <v>-83.75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488414.49</v>
      </c>
      <c r="E30" s="84">
        <v>488295.75</v>
      </c>
      <c r="F30" s="84">
        <f>D30</f>
        <v>488414.49</v>
      </c>
      <c r="G30" s="84">
        <f t="shared" si="1"/>
        <v>118.73999999999069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">
      <c r="A32" s="34" t="s">
        <v>41</v>
      </c>
      <c r="B32" s="34" t="s">
        <v>43</v>
      </c>
      <c r="C32" s="293" t="s">
        <v>380</v>
      </c>
      <c r="D32" s="84">
        <v>737934.43</v>
      </c>
      <c r="E32" s="84">
        <v>732274.51</v>
      </c>
      <c r="F32" s="84">
        <f>D32</f>
        <v>737934.43</v>
      </c>
      <c r="G32" s="84">
        <f t="shared" si="1"/>
        <v>5659.920000000042</v>
      </c>
      <c r="H32" s="101"/>
      <c r="I32" s="101"/>
    </row>
    <row r="33" spans="1:9" ht="15">
      <c r="A33" s="194" t="s">
        <v>345</v>
      </c>
      <c r="B33" s="344" t="s">
        <v>350</v>
      </c>
      <c r="C33" s="293"/>
      <c r="D33" s="295">
        <f>3000+4800+3600</f>
        <v>11400</v>
      </c>
      <c r="E33" s="295">
        <f>3000+4780+3600</f>
        <v>11380</v>
      </c>
      <c r="F33" s="326">
        <v>0</v>
      </c>
      <c r="G33" s="295">
        <f t="shared" si="1"/>
        <v>20</v>
      </c>
      <c r="H33" s="101"/>
      <c r="I33" s="101"/>
    </row>
    <row r="34" spans="1:9" ht="15.75" thickBot="1">
      <c r="A34" s="363" t="s">
        <v>378</v>
      </c>
      <c r="B34" s="364"/>
      <c r="C34" s="364"/>
      <c r="D34" s="365"/>
      <c r="E34" s="365"/>
      <c r="F34" s="365"/>
      <c r="G34" s="172"/>
      <c r="H34" s="101"/>
      <c r="I34" s="101"/>
    </row>
    <row r="35" spans="1:10" s="102" customFormat="1" ht="14.25" thickBot="1">
      <c r="A35" s="378" t="s">
        <v>383</v>
      </c>
      <c r="B35" s="379"/>
      <c r="C35" s="379"/>
      <c r="D35" s="65">
        <v>311336.69</v>
      </c>
      <c r="E35" s="66"/>
      <c r="F35" s="66"/>
      <c r="G35" s="66"/>
      <c r="H35" s="62"/>
      <c r="I35" s="62"/>
      <c r="J35" s="101"/>
    </row>
    <row r="36" spans="1:9" s="67" customFormat="1" ht="10.5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386</v>
      </c>
      <c r="B37" s="64"/>
      <c r="C37" s="64"/>
      <c r="D37" s="69"/>
      <c r="E37" s="70"/>
      <c r="F37" s="70"/>
      <c r="G37" s="146">
        <f>G14+E27-F27</f>
        <v>38596.57</v>
      </c>
      <c r="H37" s="62"/>
      <c r="I37" s="62"/>
    </row>
    <row r="38" spans="1:9" s="67" customFormat="1" ht="15.75" thickBot="1">
      <c r="A38" s="63" t="s">
        <v>387</v>
      </c>
      <c r="B38" s="64"/>
      <c r="C38" s="64"/>
      <c r="D38" s="69"/>
      <c r="E38" s="70"/>
      <c r="F38" s="70"/>
      <c r="G38" s="146">
        <f>G15+E26-F26</f>
        <v>-362723.22569999995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25.5" customHeight="1">
      <c r="A40" s="433" t="s">
        <v>44</v>
      </c>
      <c r="B40" s="433"/>
      <c r="C40" s="433"/>
      <c r="D40" s="433"/>
      <c r="E40" s="433"/>
      <c r="F40" s="433"/>
      <c r="G40" s="433"/>
      <c r="H40" s="433"/>
      <c r="I40" s="433"/>
    </row>
    <row r="41" ht="24.75" customHeight="1"/>
    <row r="42" spans="1:9" ht="28.5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5"/>
      <c r="H42" s="173"/>
      <c r="I42" s="173"/>
    </row>
    <row r="43" spans="1:9" s="173" customFormat="1" ht="15">
      <c r="A43" s="109" t="s">
        <v>47</v>
      </c>
      <c r="B43" s="396" t="s">
        <v>114</v>
      </c>
      <c r="C43" s="399"/>
      <c r="D43" s="111"/>
      <c r="E43" s="111"/>
      <c r="F43" s="411">
        <f>SUM(F44:G47)</f>
        <v>2180.3014</v>
      </c>
      <c r="G43" s="404"/>
      <c r="H43" s="115"/>
      <c r="I43" s="115"/>
    </row>
    <row r="44" spans="1:9" s="209" customFormat="1" ht="15">
      <c r="A44" s="206" t="s">
        <v>16</v>
      </c>
      <c r="B44" s="383" t="s">
        <v>518</v>
      </c>
      <c r="C44" s="400"/>
      <c r="D44" s="207" t="s">
        <v>248</v>
      </c>
      <c r="E44" s="207">
        <v>2</v>
      </c>
      <c r="F44" s="446">
        <v>105.34</v>
      </c>
      <c r="G44" s="447"/>
      <c r="H44" s="208"/>
      <c r="I44" s="208"/>
    </row>
    <row r="45" spans="1:9" s="209" customFormat="1" ht="15">
      <c r="A45" s="206" t="s">
        <v>18</v>
      </c>
      <c r="B45" s="383" t="s">
        <v>528</v>
      </c>
      <c r="C45" s="400"/>
      <c r="D45" s="207" t="s">
        <v>248</v>
      </c>
      <c r="E45" s="207">
        <v>2</v>
      </c>
      <c r="F45" s="446">
        <v>1380</v>
      </c>
      <c r="G45" s="447"/>
      <c r="H45" s="208"/>
      <c r="I45" s="208"/>
    </row>
    <row r="46" spans="1:9" s="209" customFormat="1" ht="15">
      <c r="A46" s="206" t="s">
        <v>20</v>
      </c>
      <c r="B46" s="383"/>
      <c r="C46" s="400"/>
      <c r="D46" s="207"/>
      <c r="E46" s="207"/>
      <c r="F46" s="446"/>
      <c r="G46" s="447"/>
      <c r="H46" s="208"/>
      <c r="I46" s="208"/>
    </row>
    <row r="47" spans="1:9" s="115" customFormat="1" ht="13.5" customHeight="1">
      <c r="A47" s="141" t="s">
        <v>22</v>
      </c>
      <c r="B47" s="150" t="s">
        <v>198</v>
      </c>
      <c r="C47" s="151"/>
      <c r="D47" s="119"/>
      <c r="E47" s="119"/>
      <c r="F47" s="444">
        <f>E26*1%</f>
        <v>694.9614</v>
      </c>
      <c r="G47" s="445"/>
      <c r="H47" s="35"/>
      <c r="I47" s="35"/>
    </row>
    <row r="48" spans="1:9" ht="13.5" customHeight="1">
      <c r="A48" s="67"/>
      <c r="B48" s="67"/>
      <c r="C48" s="67"/>
      <c r="D48" s="67"/>
      <c r="E48" s="67"/>
      <c r="F48" s="67"/>
      <c r="G48" s="67"/>
      <c r="H48" s="67"/>
      <c r="I48" s="67"/>
    </row>
    <row r="49" spans="1:9" ht="13.5" customHeight="1">
      <c r="A49" s="67" t="s">
        <v>55</v>
      </c>
      <c r="B49" s="67"/>
      <c r="C49" s="67" t="s">
        <v>49</v>
      </c>
      <c r="D49" s="67"/>
      <c r="E49" s="67"/>
      <c r="F49" s="67" t="s">
        <v>93</v>
      </c>
      <c r="G49" s="67"/>
      <c r="H49" s="67"/>
      <c r="I49" s="67"/>
    </row>
    <row r="50" spans="1:9" ht="13.5" customHeight="1">
      <c r="A50" s="67"/>
      <c r="B50" s="67"/>
      <c r="C50" s="67"/>
      <c r="D50" s="67"/>
      <c r="E50" s="67"/>
      <c r="F50" s="128" t="s">
        <v>516</v>
      </c>
      <c r="G50" s="67"/>
      <c r="H50" s="67"/>
      <c r="I50" s="67"/>
    </row>
    <row r="51" spans="1:9" ht="13.5" customHeight="1">
      <c r="A51" s="67" t="s">
        <v>50</v>
      </c>
      <c r="B51" s="67"/>
      <c r="C51" s="67"/>
      <c r="D51" s="67"/>
      <c r="E51" s="67"/>
      <c r="F51" s="67"/>
      <c r="G51" s="67"/>
      <c r="H51" s="67"/>
      <c r="I51" s="67"/>
    </row>
    <row r="52" spans="1:9" ht="13.5" customHeight="1">
      <c r="A52" s="67"/>
      <c r="B52" s="67"/>
      <c r="C52" s="130" t="s">
        <v>51</v>
      </c>
      <c r="D52" s="67"/>
      <c r="E52" s="130"/>
      <c r="F52" s="130"/>
      <c r="G52" s="130"/>
      <c r="H52" s="67"/>
      <c r="I52" s="67"/>
    </row>
  </sheetData>
  <sheetProtection/>
  <mergeCells count="21">
    <mergeCell ref="A11:I11"/>
    <mergeCell ref="F46:G46"/>
    <mergeCell ref="A12:I12"/>
    <mergeCell ref="A40:I40"/>
    <mergeCell ref="B42:C42"/>
    <mergeCell ref="A1:I1"/>
    <mergeCell ref="A2:I2"/>
    <mergeCell ref="A5:I5"/>
    <mergeCell ref="A10:I10"/>
    <mergeCell ref="A3:K3"/>
    <mergeCell ref="F47:G47"/>
    <mergeCell ref="B43:C43"/>
    <mergeCell ref="F45:G45"/>
    <mergeCell ref="B44:C44"/>
    <mergeCell ref="F44:G44"/>
    <mergeCell ref="F43:G43"/>
    <mergeCell ref="B45:C45"/>
    <mergeCell ref="A34:F34"/>
    <mergeCell ref="F42:G42"/>
    <mergeCell ref="A35:C35"/>
    <mergeCell ref="B46:C4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5"/>
  <sheetViews>
    <sheetView zoomScalePageLayoutView="0" workbookViewId="0" topLeftCell="A31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8.421875" style="35" customWidth="1"/>
    <col min="3" max="3" width="13.140625" style="35" customWidth="1"/>
    <col min="4" max="4" width="14.00390625" style="35" customWidth="1"/>
    <col min="5" max="5" width="13.7109375" style="35" customWidth="1"/>
    <col min="6" max="6" width="12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7109375" style="35" bestFit="1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.7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3.7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2.7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4.5" customHeight="1"/>
    <row r="7" spans="1:6" s="67" customFormat="1" ht="16.5" customHeight="1">
      <c r="A7" s="67" t="s">
        <v>2</v>
      </c>
      <c r="F7" s="128" t="s">
        <v>82</v>
      </c>
    </row>
    <row r="8" spans="1:6" s="67" customFormat="1" ht="15">
      <c r="A8" s="67" t="s">
        <v>3</v>
      </c>
      <c r="F8" s="299" t="s">
        <v>407</v>
      </c>
    </row>
    <row r="9" s="67" customFormat="1" ht="4.5" customHeight="1"/>
    <row r="10" spans="1:9" s="67" customFormat="1" ht="14.25" customHeight="1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4.25" customHeight="1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'[1]Калинина 4'!$G$37</f>
        <v>21917.31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'[1]Калинина 4'!$G$38</f>
        <v>-234785.4156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15">
      <c r="A18" s="75" t="s">
        <v>14</v>
      </c>
      <c r="B18" s="41" t="s">
        <v>15</v>
      </c>
      <c r="C18" s="137">
        <f>C19+C20+C21+C22</f>
        <v>10.34</v>
      </c>
      <c r="D18" s="76">
        <v>380915.01</v>
      </c>
      <c r="E18" s="76">
        <v>347504.66</v>
      </c>
      <c r="F18" s="76">
        <f>D18</f>
        <v>380915.01</v>
      </c>
      <c r="G18" s="77">
        <f>D18-E18</f>
        <v>33410.350000000035</v>
      </c>
      <c r="H18" s="147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127462.85634429402</v>
      </c>
      <c r="E19" s="83">
        <f>E18*I19</f>
        <v>116282.99067698259</v>
      </c>
      <c r="F19" s="83">
        <f>D19</f>
        <v>127462.85634429402</v>
      </c>
      <c r="G19" s="84">
        <f>D19-E19</f>
        <v>11179.865667311431</v>
      </c>
      <c r="H19" s="147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62257.869139264985</v>
      </c>
      <c r="E20" s="83">
        <f>E18*I20</f>
        <v>56797.18330754351</v>
      </c>
      <c r="F20" s="83">
        <f>D20</f>
        <v>62257.869139264985</v>
      </c>
      <c r="G20" s="84">
        <f>D20-E20</f>
        <v>5460.685831721472</v>
      </c>
      <c r="H20" s="147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79203.79801740813</v>
      </c>
      <c r="E21" s="83">
        <f>E18*I21</f>
        <v>72256.77166344294</v>
      </c>
      <c r="F21" s="83">
        <f>D21</f>
        <v>79203.79801740813</v>
      </c>
      <c r="G21" s="84">
        <f>D21-E21</f>
        <v>6947.026353965193</v>
      </c>
      <c r="H21" s="147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111990.4864990329</v>
      </c>
      <c r="E22" s="83">
        <f>E18*I22</f>
        <v>102167.71435203095</v>
      </c>
      <c r="F22" s="83">
        <f>D22</f>
        <v>111990.4864990329</v>
      </c>
      <c r="G22" s="84">
        <f>D22-E22</f>
        <v>9822.772147001946</v>
      </c>
      <c r="H22" s="147">
        <f>C22</f>
        <v>3.04</v>
      </c>
      <c r="I22" s="67">
        <f>H22/H18</f>
        <v>0.2940038684719536</v>
      </c>
    </row>
    <row r="23" spans="1:7" ht="15">
      <c r="A23" s="41" t="s">
        <v>25</v>
      </c>
      <c r="B23" s="142" t="s">
        <v>176</v>
      </c>
      <c r="C23" s="143">
        <v>0</v>
      </c>
      <c r="D23" s="77">
        <v>0</v>
      </c>
      <c r="E23" s="77">
        <v>0</v>
      </c>
      <c r="F23" s="77">
        <v>0</v>
      </c>
      <c r="G23" s="77">
        <f aca="true" t="shared" si="0" ref="G23:G33">D23-E23</f>
        <v>0</v>
      </c>
    </row>
    <row r="24" spans="1:7" ht="15">
      <c r="A24" s="41" t="s">
        <v>27</v>
      </c>
      <c r="B24" s="142" t="s">
        <v>28</v>
      </c>
      <c r="C24" s="143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2" t="s">
        <v>168</v>
      </c>
      <c r="C25" s="143" t="s">
        <v>395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13" ht="15">
      <c r="A26" s="41" t="s">
        <v>31</v>
      </c>
      <c r="B26" s="142" t="s">
        <v>119</v>
      </c>
      <c r="C26" s="143">
        <v>2.06</v>
      </c>
      <c r="D26" s="77">
        <v>73121.75</v>
      </c>
      <c r="E26" s="77">
        <v>69275.98</v>
      </c>
      <c r="F26" s="87">
        <f>F43-F28</f>
        <v>134196.4598</v>
      </c>
      <c r="G26" s="77">
        <f t="shared" si="0"/>
        <v>3845.770000000004</v>
      </c>
      <c r="M26" s="161"/>
    </row>
    <row r="27" spans="1:7" ht="15">
      <c r="A27" s="41" t="s">
        <v>33</v>
      </c>
      <c r="B27" s="136" t="s">
        <v>34</v>
      </c>
      <c r="C27" s="137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13" ht="15">
      <c r="A28" s="41" t="s">
        <v>35</v>
      </c>
      <c r="B28" s="136" t="s">
        <v>141</v>
      </c>
      <c r="C28" s="137">
        <v>13.22</v>
      </c>
      <c r="D28" s="77">
        <v>5227.14</v>
      </c>
      <c r="E28" s="77">
        <v>4511.17</v>
      </c>
      <c r="F28" s="87">
        <v>0</v>
      </c>
      <c r="G28" s="77">
        <f t="shared" si="0"/>
        <v>715.9700000000003</v>
      </c>
      <c r="M28" s="161"/>
    </row>
    <row r="29" spans="1:7" ht="15">
      <c r="A29" s="41" t="s">
        <v>211</v>
      </c>
      <c r="B29" s="136" t="s">
        <v>36</v>
      </c>
      <c r="C29" s="137"/>
      <c r="D29" s="77">
        <f>SUM(D30:D33)</f>
        <v>1505609.38</v>
      </c>
      <c r="E29" s="77">
        <f>SUM(E30:E33)</f>
        <v>1440739.92</v>
      </c>
      <c r="F29" s="77">
        <f>SUM(F30:F33)</f>
        <v>1505609.38</v>
      </c>
      <c r="G29" s="77">
        <f t="shared" si="0"/>
        <v>64869.45999999996</v>
      </c>
    </row>
    <row r="30" spans="1:7" ht="15">
      <c r="A30" s="34" t="s">
        <v>213</v>
      </c>
      <c r="B30" s="34" t="s">
        <v>172</v>
      </c>
      <c r="C30" s="293" t="s">
        <v>379</v>
      </c>
      <c r="D30" s="84">
        <v>26244.98</v>
      </c>
      <c r="E30" s="84">
        <v>24888.87</v>
      </c>
      <c r="F30" s="84">
        <f>D30</f>
        <v>26244.98</v>
      </c>
      <c r="G30" s="84">
        <f t="shared" si="0"/>
        <v>1356.1100000000006</v>
      </c>
    </row>
    <row r="31" spans="1:7" ht="15">
      <c r="A31" s="34" t="s">
        <v>214</v>
      </c>
      <c r="B31" s="34" t="s">
        <v>142</v>
      </c>
      <c r="C31" s="293" t="s">
        <v>382</v>
      </c>
      <c r="D31" s="84">
        <v>217097.82</v>
      </c>
      <c r="E31" s="84">
        <v>220798.62</v>
      </c>
      <c r="F31" s="84">
        <f>D31</f>
        <v>217097.82</v>
      </c>
      <c r="G31" s="84">
        <f t="shared" si="0"/>
        <v>-3700.7999999999884</v>
      </c>
    </row>
    <row r="32" spans="1:7" ht="15">
      <c r="A32" s="34" t="s">
        <v>215</v>
      </c>
      <c r="B32" s="34" t="s">
        <v>40</v>
      </c>
      <c r="C32" s="294" t="s">
        <v>381</v>
      </c>
      <c r="D32" s="84">
        <v>285942.19</v>
      </c>
      <c r="E32" s="84">
        <v>277781.66</v>
      </c>
      <c r="F32" s="84">
        <f>D32</f>
        <v>285942.19</v>
      </c>
      <c r="G32" s="84">
        <f t="shared" si="0"/>
        <v>8160.530000000028</v>
      </c>
    </row>
    <row r="33" spans="1:9" ht="15">
      <c r="A33" s="34" t="s">
        <v>216</v>
      </c>
      <c r="B33" s="34" t="s">
        <v>43</v>
      </c>
      <c r="C33" s="293" t="s">
        <v>380</v>
      </c>
      <c r="D33" s="84">
        <v>976324.39</v>
      </c>
      <c r="E33" s="84">
        <v>917270.77</v>
      </c>
      <c r="F33" s="84">
        <f>D33</f>
        <v>976324.39</v>
      </c>
      <c r="G33" s="84">
        <f t="shared" si="0"/>
        <v>59053.619999999995</v>
      </c>
      <c r="H33" s="101"/>
      <c r="I33" s="101"/>
    </row>
    <row r="34" spans="1:9" ht="15.75" thickBot="1">
      <c r="A34" s="363" t="s">
        <v>378</v>
      </c>
      <c r="B34" s="364"/>
      <c r="C34" s="364"/>
      <c r="D34" s="365"/>
      <c r="E34" s="365"/>
      <c r="F34" s="365"/>
      <c r="G34" s="172"/>
      <c r="H34" s="101"/>
      <c r="I34" s="101"/>
    </row>
    <row r="35" spans="1:10" s="102" customFormat="1" ht="14.25" thickBot="1">
      <c r="A35" s="378" t="s">
        <v>383</v>
      </c>
      <c r="B35" s="379"/>
      <c r="C35" s="379"/>
      <c r="D35" s="65">
        <v>391105.85</v>
      </c>
      <c r="E35" s="66"/>
      <c r="F35" s="66"/>
      <c r="G35" s="66"/>
      <c r="H35" s="62"/>
      <c r="I35" s="62"/>
      <c r="J35" s="101"/>
    </row>
    <row r="36" spans="1:9" s="67" customFormat="1" ht="9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386</v>
      </c>
      <c r="B37" s="64"/>
      <c r="C37" s="64"/>
      <c r="D37" s="69"/>
      <c r="E37" s="70"/>
      <c r="F37" s="70"/>
      <c r="G37" s="146">
        <f>G14+E27-F27</f>
        <v>21917.31</v>
      </c>
      <c r="H37" s="62"/>
      <c r="I37" s="62"/>
    </row>
    <row r="38" spans="1:13" s="67" customFormat="1" ht="15.75" thickBot="1">
      <c r="A38" s="63" t="s">
        <v>387</v>
      </c>
      <c r="B38" s="64"/>
      <c r="C38" s="64"/>
      <c r="D38" s="69"/>
      <c r="E38" s="70"/>
      <c r="F38" s="70"/>
      <c r="G38" s="146">
        <f>G15+E26+E28-F26-F28</f>
        <v>-295194.7254</v>
      </c>
      <c r="H38" s="62"/>
      <c r="I38" s="62"/>
      <c r="M38" s="147"/>
    </row>
    <row r="39" spans="1:9" s="67" customFormat="1" ht="9.75" customHeight="1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28.5" customHeight="1">
      <c r="A40" s="433" t="s">
        <v>44</v>
      </c>
      <c r="B40" s="433"/>
      <c r="C40" s="433"/>
      <c r="D40" s="433"/>
      <c r="E40" s="433"/>
      <c r="F40" s="433"/>
      <c r="G40" s="433"/>
      <c r="H40" s="433"/>
      <c r="I40" s="433"/>
    </row>
    <row r="42" spans="1:9" ht="28.5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5"/>
      <c r="H42" s="173"/>
      <c r="I42" s="173"/>
    </row>
    <row r="43" spans="1:9" s="173" customFormat="1" ht="15">
      <c r="A43" s="109" t="s">
        <v>47</v>
      </c>
      <c r="B43" s="396" t="s">
        <v>114</v>
      </c>
      <c r="C43" s="399"/>
      <c r="D43" s="111"/>
      <c r="E43" s="111"/>
      <c r="F43" s="411">
        <f>SUM(F44:L50)</f>
        <v>134196.4598</v>
      </c>
      <c r="G43" s="404"/>
      <c r="H43" s="115"/>
      <c r="I43" s="115"/>
    </row>
    <row r="44" spans="1:9" s="210" customFormat="1" ht="15">
      <c r="A44" s="141" t="s">
        <v>16</v>
      </c>
      <c r="B44" s="383" t="s">
        <v>554</v>
      </c>
      <c r="C44" s="400"/>
      <c r="D44" s="207" t="s">
        <v>238</v>
      </c>
      <c r="E44" s="207">
        <v>1.2</v>
      </c>
      <c r="F44" s="446">
        <v>96556.27</v>
      </c>
      <c r="G44" s="448"/>
      <c r="H44" s="35"/>
      <c r="I44" s="35"/>
    </row>
    <row r="45" spans="1:9" s="210" customFormat="1" ht="15">
      <c r="A45" s="141" t="s">
        <v>18</v>
      </c>
      <c r="B45" s="383" t="s">
        <v>555</v>
      </c>
      <c r="C45" s="400"/>
      <c r="D45" s="207" t="s">
        <v>248</v>
      </c>
      <c r="E45" s="207">
        <v>1</v>
      </c>
      <c r="F45" s="446">
        <v>18642.25</v>
      </c>
      <c r="G45" s="448"/>
      <c r="H45" s="35"/>
      <c r="I45" s="35"/>
    </row>
    <row r="46" spans="1:9" s="210" customFormat="1" ht="14.25" customHeight="1">
      <c r="A46" s="141" t="s">
        <v>20</v>
      </c>
      <c r="B46" s="383" t="s">
        <v>556</v>
      </c>
      <c r="C46" s="400"/>
      <c r="D46" s="207" t="s">
        <v>265</v>
      </c>
      <c r="E46" s="207">
        <v>0.025</v>
      </c>
      <c r="F46" s="446">
        <v>2484.11</v>
      </c>
      <c r="G46" s="448"/>
      <c r="H46" s="35"/>
      <c r="I46" s="35"/>
    </row>
    <row r="47" spans="1:9" s="210" customFormat="1" ht="15">
      <c r="A47" s="141" t="s">
        <v>22</v>
      </c>
      <c r="B47" s="383" t="s">
        <v>557</v>
      </c>
      <c r="C47" s="400"/>
      <c r="D47" s="207" t="s">
        <v>238</v>
      </c>
      <c r="E47" s="207">
        <v>0.09</v>
      </c>
      <c r="F47" s="446">
        <v>6945.72</v>
      </c>
      <c r="G47" s="448"/>
      <c r="H47" s="35"/>
      <c r="I47" s="35"/>
    </row>
    <row r="48" spans="1:9" s="210" customFormat="1" ht="15">
      <c r="A48" s="141" t="s">
        <v>24</v>
      </c>
      <c r="B48" s="383" t="s">
        <v>358</v>
      </c>
      <c r="C48" s="400"/>
      <c r="D48" s="207" t="s">
        <v>265</v>
      </c>
      <c r="E48" s="207">
        <v>0.1</v>
      </c>
      <c r="F48" s="446">
        <v>7022.35</v>
      </c>
      <c r="G48" s="448"/>
      <c r="H48" s="35"/>
      <c r="I48" s="35"/>
    </row>
    <row r="49" spans="1:9" s="210" customFormat="1" ht="12" customHeight="1">
      <c r="A49" s="141" t="s">
        <v>106</v>
      </c>
      <c r="B49" s="383" t="s">
        <v>790</v>
      </c>
      <c r="C49" s="400"/>
      <c r="D49" s="207"/>
      <c r="E49" s="207"/>
      <c r="F49" s="446">
        <v>1853</v>
      </c>
      <c r="G49" s="448"/>
      <c r="H49" s="35"/>
      <c r="I49" s="35"/>
    </row>
    <row r="50" spans="1:9" s="115" customFormat="1" ht="15">
      <c r="A50" s="141" t="s">
        <v>107</v>
      </c>
      <c r="B50" s="150" t="s">
        <v>198</v>
      </c>
      <c r="C50" s="151"/>
      <c r="D50" s="119"/>
      <c r="E50" s="119"/>
      <c r="F50" s="443">
        <f>E26*1%</f>
        <v>692.7597999999999</v>
      </c>
      <c r="G50" s="443"/>
      <c r="H50" s="35"/>
      <c r="I50" s="35"/>
    </row>
    <row r="51" spans="1:9" ht="12.75" customHeight="1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12.75" customHeight="1">
      <c r="A52" s="67" t="s">
        <v>55</v>
      </c>
      <c r="B52" s="67"/>
      <c r="C52" s="67" t="s">
        <v>49</v>
      </c>
      <c r="D52" s="67"/>
      <c r="E52" s="67"/>
      <c r="F52" s="67" t="s">
        <v>93</v>
      </c>
      <c r="G52" s="67"/>
      <c r="H52" s="67"/>
      <c r="I52" s="67"/>
    </row>
    <row r="53" spans="1:9" ht="12.75" customHeight="1">
      <c r="A53" s="67"/>
      <c r="B53" s="67"/>
      <c r="C53" s="67"/>
      <c r="D53" s="67"/>
      <c r="E53" s="67"/>
      <c r="F53" s="128" t="s">
        <v>516</v>
      </c>
      <c r="G53" s="67"/>
      <c r="H53" s="67"/>
      <c r="I53" s="67"/>
    </row>
    <row r="54" spans="1:9" ht="12.75" customHeight="1">
      <c r="A54" s="67" t="s">
        <v>50</v>
      </c>
      <c r="B54" s="67"/>
      <c r="C54" s="67"/>
      <c r="D54" s="67"/>
      <c r="E54" s="67"/>
      <c r="F54" s="67"/>
      <c r="G54" s="67"/>
      <c r="H54" s="67"/>
      <c r="I54" s="67"/>
    </row>
    <row r="55" spans="1:9" ht="12.75" customHeight="1">
      <c r="A55" s="67"/>
      <c r="B55" s="67"/>
      <c r="C55" s="130" t="s">
        <v>51</v>
      </c>
      <c r="D55" s="67"/>
      <c r="E55" s="130"/>
      <c r="F55" s="130"/>
      <c r="G55" s="130"/>
      <c r="H55" s="67"/>
      <c r="I55" s="67"/>
    </row>
  </sheetData>
  <sheetProtection/>
  <mergeCells count="27">
    <mergeCell ref="A1:I1"/>
    <mergeCell ref="A2:I2"/>
    <mergeCell ref="A5:I5"/>
    <mergeCell ref="A10:I10"/>
    <mergeCell ref="A3:K3"/>
    <mergeCell ref="B46:C46"/>
    <mergeCell ref="B43:C43"/>
    <mergeCell ref="B44:C44"/>
    <mergeCell ref="F42:G42"/>
    <mergeCell ref="A11:I11"/>
    <mergeCell ref="F50:G50"/>
    <mergeCell ref="F46:G46"/>
    <mergeCell ref="B48:C48"/>
    <mergeCell ref="F48:G48"/>
    <mergeCell ref="F44:G44"/>
    <mergeCell ref="F45:G45"/>
    <mergeCell ref="B47:C47"/>
    <mergeCell ref="F47:G47"/>
    <mergeCell ref="B49:C49"/>
    <mergeCell ref="F49:G49"/>
    <mergeCell ref="B45:C45"/>
    <mergeCell ref="A12:I12"/>
    <mergeCell ref="F43:G43"/>
    <mergeCell ref="A35:C35"/>
    <mergeCell ref="A40:I40"/>
    <mergeCell ref="B42:C42"/>
    <mergeCell ref="A34:F3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V60"/>
  <sheetViews>
    <sheetView zoomScalePageLayoutView="0" workbookViewId="0" topLeftCell="A43">
      <selection activeCell="G38" sqref="G38"/>
    </sheetView>
  </sheetViews>
  <sheetFormatPr defaultColWidth="9.140625" defaultRowHeight="15" outlineLevelCol="1"/>
  <cols>
    <col min="1" max="1" width="5.57421875" style="35" customWidth="1"/>
    <col min="2" max="2" width="51.00390625" style="35" customWidth="1"/>
    <col min="3" max="3" width="13.00390625" style="35" customWidth="1"/>
    <col min="4" max="4" width="12.8515625" style="35" customWidth="1"/>
    <col min="5" max="5" width="12.7109375" style="35" customWidth="1"/>
    <col min="6" max="6" width="14.0039062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21" width="9.140625" style="35" customWidth="1"/>
    <col min="22" max="22" width="11.421875" style="35" bestFit="1" customWidth="1"/>
    <col min="23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7.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.7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6" customHeight="1"/>
    <row r="7" spans="1:6" s="67" customFormat="1" ht="16.5" customHeight="1">
      <c r="A7" s="67" t="s">
        <v>2</v>
      </c>
      <c r="F7" s="128" t="s">
        <v>270</v>
      </c>
    </row>
    <row r="8" spans="1:11" s="67" customFormat="1" ht="15">
      <c r="A8" s="67" t="s">
        <v>3</v>
      </c>
      <c r="F8" s="299" t="s">
        <v>494</v>
      </c>
      <c r="I8" s="204">
        <v>78.3</v>
      </c>
      <c r="J8" s="204">
        <v>5150.5</v>
      </c>
      <c r="K8" s="204">
        <f>I8+J8</f>
        <v>5228.8</v>
      </c>
    </row>
    <row r="9" s="67" customFormat="1" ht="6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408</v>
      </c>
      <c r="B14" s="64"/>
      <c r="C14" s="64"/>
      <c r="D14" s="69"/>
      <c r="E14" s="70"/>
      <c r="F14" s="70"/>
      <c r="G14" s="146">
        <f>'[1]Тельмана 10'!$G$36</f>
        <v>0</v>
      </c>
      <c r="H14" s="62"/>
      <c r="I14" s="62"/>
    </row>
    <row r="15" spans="1:9" s="67" customFormat="1" ht="15.75" thickBot="1">
      <c r="A15" s="63" t="s">
        <v>409</v>
      </c>
      <c r="B15" s="64"/>
      <c r="C15" s="64"/>
      <c r="D15" s="69"/>
      <c r="E15" s="70"/>
      <c r="F15" s="70"/>
      <c r="G15" s="146">
        <f>'[1]Тельмана 10'!$G$37</f>
        <v>48973.333199999994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15.75" customHeight="1">
      <c r="A18" s="75" t="s">
        <v>14</v>
      </c>
      <c r="B18" s="41" t="s">
        <v>15</v>
      </c>
      <c r="C18" s="137">
        <f>C19+C20+C21+C22</f>
        <v>9.879999999999999</v>
      </c>
      <c r="D18" s="76">
        <v>617445.32</v>
      </c>
      <c r="E18" s="76">
        <v>610796.34</v>
      </c>
      <c r="F18" s="76">
        <f aca="true" t="shared" si="0" ref="F18:F25">D18</f>
        <v>617445.32</v>
      </c>
      <c r="G18" s="77">
        <f>D18-E18</f>
        <v>6648.979999999981</v>
      </c>
      <c r="H18" s="147">
        <f>C18</f>
        <v>9.879999999999999</v>
      </c>
    </row>
    <row r="19" spans="1:9" s="67" customFormat="1" ht="15.75" customHeight="1">
      <c r="A19" s="81" t="s">
        <v>16</v>
      </c>
      <c r="B19" s="34" t="s">
        <v>17</v>
      </c>
      <c r="C19" s="99">
        <v>3.46</v>
      </c>
      <c r="D19" s="83">
        <f>D18*I19</f>
        <v>216230.8509311741</v>
      </c>
      <c r="E19" s="83">
        <f>E18*I19</f>
        <v>213902.36198380566</v>
      </c>
      <c r="F19" s="83">
        <f t="shared" si="0"/>
        <v>216230.8509311741</v>
      </c>
      <c r="G19" s="84">
        <f>D19-E19</f>
        <v>2328.4889473684307</v>
      </c>
      <c r="H19" s="147">
        <f>C19</f>
        <v>3.46</v>
      </c>
      <c r="I19" s="67">
        <f>H19/H18</f>
        <v>0.3502024291497976</v>
      </c>
    </row>
    <row r="20" spans="1:9" s="67" customFormat="1" ht="15.75" customHeight="1">
      <c r="A20" s="81" t="s">
        <v>18</v>
      </c>
      <c r="B20" s="34" t="s">
        <v>19</v>
      </c>
      <c r="C20" s="99">
        <v>1.69</v>
      </c>
      <c r="D20" s="83">
        <f>D18*I20</f>
        <v>105615.64684210526</v>
      </c>
      <c r="E20" s="83">
        <f>E18*I20</f>
        <v>104478.32131578946</v>
      </c>
      <c r="F20" s="83">
        <f t="shared" si="0"/>
        <v>105615.64684210526</v>
      </c>
      <c r="G20" s="84">
        <f>D20-E20</f>
        <v>1137.3255263157916</v>
      </c>
      <c r="H20" s="147">
        <f>C20</f>
        <v>1.69</v>
      </c>
      <c r="I20" s="67">
        <f>H20/H18</f>
        <v>0.17105263157894737</v>
      </c>
    </row>
    <row r="21" spans="1:9" s="67" customFormat="1" ht="15.75" customHeight="1">
      <c r="A21" s="81" t="s">
        <v>20</v>
      </c>
      <c r="B21" s="34" t="s">
        <v>21</v>
      </c>
      <c r="C21" s="99">
        <v>1.69</v>
      </c>
      <c r="D21" s="83">
        <f>D18*I21</f>
        <v>105615.64684210526</v>
      </c>
      <c r="E21" s="83">
        <f>E18*I21</f>
        <v>104478.32131578946</v>
      </c>
      <c r="F21" s="83">
        <f t="shared" si="0"/>
        <v>105615.64684210526</v>
      </c>
      <c r="G21" s="84">
        <f>D21-E21</f>
        <v>1137.3255263157916</v>
      </c>
      <c r="H21" s="147">
        <f>C21</f>
        <v>1.69</v>
      </c>
      <c r="I21" s="67">
        <f>H21/H18</f>
        <v>0.17105263157894737</v>
      </c>
    </row>
    <row r="22" spans="1:9" s="67" customFormat="1" ht="15.75" customHeight="1">
      <c r="A22" s="81" t="s">
        <v>22</v>
      </c>
      <c r="B22" s="34" t="s">
        <v>23</v>
      </c>
      <c r="C22" s="99">
        <v>3.04</v>
      </c>
      <c r="D22" s="83">
        <f>D18*I22</f>
        <v>189983.17538461537</v>
      </c>
      <c r="E22" s="83">
        <f>E18*I22</f>
        <v>187937.33538461538</v>
      </c>
      <c r="F22" s="83">
        <f t="shared" si="0"/>
        <v>189983.17538461537</v>
      </c>
      <c r="G22" s="84">
        <f>D22-E22</f>
        <v>2045.8399999999965</v>
      </c>
      <c r="H22" s="147">
        <f>C22</f>
        <v>3.04</v>
      </c>
      <c r="I22" s="67">
        <f>H22/H18</f>
        <v>0.3076923076923077</v>
      </c>
    </row>
    <row r="23" spans="1:7" ht="24.75" customHeight="1">
      <c r="A23" s="41" t="s">
        <v>25</v>
      </c>
      <c r="B23" s="142" t="s">
        <v>410</v>
      </c>
      <c r="C23" s="46" t="s">
        <v>411</v>
      </c>
      <c r="D23" s="77">
        <v>18000</v>
      </c>
      <c r="E23" s="77">
        <v>17855.72</v>
      </c>
      <c r="F23" s="77">
        <f t="shared" si="0"/>
        <v>18000</v>
      </c>
      <c r="G23" s="77">
        <f aca="true" t="shared" si="1" ref="G23:G33">D23-E23</f>
        <v>144.27999999999884</v>
      </c>
    </row>
    <row r="24" spans="1:7" ht="15.75" customHeight="1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22" ht="15.75" customHeight="1">
      <c r="A25" s="41" t="s">
        <v>29</v>
      </c>
      <c r="B25" s="142" t="s">
        <v>168</v>
      </c>
      <c r="C25" s="205" t="s">
        <v>395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  <c r="N25" s="38"/>
      <c r="O25" s="38"/>
      <c r="P25" s="38"/>
      <c r="Q25" s="38"/>
      <c r="R25" s="38"/>
      <c r="S25" s="38"/>
      <c r="T25" s="38"/>
      <c r="U25" s="38"/>
      <c r="V25" s="38"/>
    </row>
    <row r="26" spans="1:13" ht="15.75" customHeight="1">
      <c r="A26" s="41" t="s">
        <v>31</v>
      </c>
      <c r="B26" s="142" t="s">
        <v>119</v>
      </c>
      <c r="C26" s="97">
        <v>1.86</v>
      </c>
      <c r="D26" s="77">
        <v>113722.96</v>
      </c>
      <c r="E26" s="77">
        <v>115117.28</v>
      </c>
      <c r="F26" s="87">
        <f>F45</f>
        <v>464053.13279999996</v>
      </c>
      <c r="G26" s="77">
        <f t="shared" si="1"/>
        <v>-1394.3199999999924</v>
      </c>
      <c r="M26" s="161"/>
    </row>
    <row r="27" spans="1:13" ht="15.75" customHeight="1">
      <c r="A27" s="41" t="s">
        <v>31</v>
      </c>
      <c r="B27" s="361" t="s">
        <v>559</v>
      </c>
      <c r="C27" s="362">
        <v>0</v>
      </c>
      <c r="D27" s="77">
        <v>0</v>
      </c>
      <c r="E27" s="77">
        <v>110350.06</v>
      </c>
      <c r="F27" s="87">
        <v>0</v>
      </c>
      <c r="G27" s="77">
        <f t="shared" si="1"/>
        <v>-110350.06</v>
      </c>
      <c r="M27" s="161"/>
    </row>
    <row r="28" spans="1:7" ht="15.75" customHeight="1">
      <c r="A28" s="41" t="s">
        <v>33</v>
      </c>
      <c r="B28" s="136" t="s">
        <v>34</v>
      </c>
      <c r="C28" s="46">
        <v>0</v>
      </c>
      <c r="D28" s="77">
        <v>0</v>
      </c>
      <c r="E28" s="77">
        <v>0</v>
      </c>
      <c r="F28" s="87">
        <v>0</v>
      </c>
      <c r="G28" s="77">
        <f t="shared" si="1"/>
        <v>0</v>
      </c>
    </row>
    <row r="29" spans="1:7" ht="15.75" customHeight="1">
      <c r="A29" s="41" t="s">
        <v>35</v>
      </c>
      <c r="B29" s="136" t="s">
        <v>36</v>
      </c>
      <c r="C29" s="97"/>
      <c r="D29" s="77">
        <f>SUM(D30:D33)</f>
        <v>2625776.71</v>
      </c>
      <c r="E29" s="77">
        <f>SUM(E30:E33)</f>
        <v>2655442.09</v>
      </c>
      <c r="F29" s="77">
        <f>SUM(F30:F33)</f>
        <v>2625776.71</v>
      </c>
      <c r="G29" s="77">
        <f t="shared" si="1"/>
        <v>-29665.37999999989</v>
      </c>
    </row>
    <row r="30" spans="1:7" ht="15.75" customHeight="1">
      <c r="A30" s="34" t="s">
        <v>37</v>
      </c>
      <c r="B30" s="34" t="s">
        <v>172</v>
      </c>
      <c r="C30" s="293" t="s">
        <v>379</v>
      </c>
      <c r="D30" s="84">
        <v>65182.14</v>
      </c>
      <c r="E30" s="84">
        <v>65067.99</v>
      </c>
      <c r="F30" s="84">
        <f>D30</f>
        <v>65182.14</v>
      </c>
      <c r="G30" s="84">
        <f t="shared" si="1"/>
        <v>114.15000000000146</v>
      </c>
    </row>
    <row r="31" spans="1:7" ht="15.75" customHeight="1">
      <c r="A31" s="34" t="s">
        <v>39</v>
      </c>
      <c r="B31" s="34" t="s">
        <v>142</v>
      </c>
      <c r="C31" s="293" t="s">
        <v>382</v>
      </c>
      <c r="D31" s="84">
        <v>700607.2</v>
      </c>
      <c r="E31" s="84">
        <v>714884.43</v>
      </c>
      <c r="F31" s="84">
        <f>D31</f>
        <v>700607.2</v>
      </c>
      <c r="G31" s="84">
        <f t="shared" si="1"/>
        <v>-14277.230000000098</v>
      </c>
    </row>
    <row r="32" spans="1:7" ht="15.75" customHeight="1">
      <c r="A32" s="34" t="s">
        <v>42</v>
      </c>
      <c r="B32" s="34" t="s">
        <v>40</v>
      </c>
      <c r="C32" s="145">
        <v>0</v>
      </c>
      <c r="D32" s="84">
        <v>0</v>
      </c>
      <c r="E32" s="84">
        <v>0</v>
      </c>
      <c r="F32" s="84">
        <f>D32</f>
        <v>0</v>
      </c>
      <c r="G32" s="84">
        <f t="shared" si="1"/>
        <v>0</v>
      </c>
    </row>
    <row r="33" spans="1:9" ht="15.75" customHeight="1">
      <c r="A33" s="34" t="s">
        <v>41</v>
      </c>
      <c r="B33" s="34" t="s">
        <v>43</v>
      </c>
      <c r="C33" s="293" t="s">
        <v>380</v>
      </c>
      <c r="D33" s="84">
        <v>1859987.37</v>
      </c>
      <c r="E33" s="84">
        <v>1875489.67</v>
      </c>
      <c r="F33" s="84">
        <f>D33</f>
        <v>1859987.37</v>
      </c>
      <c r="G33" s="84">
        <f t="shared" si="1"/>
        <v>-15502.299999999814</v>
      </c>
      <c r="H33" s="101"/>
      <c r="I33" s="101"/>
    </row>
    <row r="34" spans="1:9" ht="15.75" customHeight="1" thickBot="1">
      <c r="A34" s="363" t="s">
        <v>378</v>
      </c>
      <c r="B34" s="364"/>
      <c r="C34" s="364"/>
      <c r="D34" s="365"/>
      <c r="E34" s="365"/>
      <c r="F34" s="365"/>
      <c r="G34" s="172"/>
      <c r="H34" s="101"/>
      <c r="I34" s="101"/>
    </row>
    <row r="35" spans="1:10" s="102" customFormat="1" ht="14.25" thickBot="1">
      <c r="A35" s="378" t="s">
        <v>383</v>
      </c>
      <c r="B35" s="379"/>
      <c r="C35" s="379"/>
      <c r="D35" s="65">
        <v>416805.05</v>
      </c>
      <c r="E35" s="66"/>
      <c r="F35" s="66"/>
      <c r="G35" s="66"/>
      <c r="H35" s="62"/>
      <c r="I35" s="62"/>
      <c r="J35" s="101"/>
    </row>
    <row r="36" spans="1:9" s="67" customFormat="1" ht="8.25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386</v>
      </c>
      <c r="B37" s="64"/>
      <c r="C37" s="64"/>
      <c r="D37" s="69"/>
      <c r="E37" s="70"/>
      <c r="F37" s="70"/>
      <c r="G37" s="146">
        <f>G14+E28-F28</f>
        <v>0</v>
      </c>
      <c r="H37" s="62"/>
      <c r="I37" s="62"/>
    </row>
    <row r="38" spans="1:9" s="67" customFormat="1" ht="15.75" thickBot="1">
      <c r="A38" s="63" t="s">
        <v>387</v>
      </c>
      <c r="B38" s="64"/>
      <c r="C38" s="64"/>
      <c r="D38" s="69"/>
      <c r="E38" s="70"/>
      <c r="F38" s="70"/>
      <c r="G38" s="146">
        <f>G15+E26-F26+E27-F27</f>
        <v>-189612.4596</v>
      </c>
      <c r="H38" s="62"/>
      <c r="I38" s="62"/>
    </row>
    <row r="39" spans="1:9" s="67" customFormat="1" ht="15">
      <c r="A39" s="453" t="s">
        <v>489</v>
      </c>
      <c r="B39" s="454"/>
      <c r="C39" s="104"/>
      <c r="D39" s="104"/>
      <c r="E39" s="101"/>
      <c r="F39" s="101"/>
      <c r="G39" s="101"/>
      <c r="H39" s="62"/>
      <c r="I39" s="62"/>
    </row>
    <row r="40" spans="1:9" s="67" customFormat="1" ht="15">
      <c r="A40" s="449" t="s">
        <v>150</v>
      </c>
      <c r="B40" s="450"/>
      <c r="C40" s="44" t="s">
        <v>151</v>
      </c>
      <c r="D40" s="44" t="s">
        <v>152</v>
      </c>
      <c r="E40" s="45" t="s">
        <v>153</v>
      </c>
      <c r="F40" s="42" t="s">
        <v>154</v>
      </c>
      <c r="G40" s="45" t="s">
        <v>155</v>
      </c>
      <c r="H40" s="62"/>
      <c r="I40" s="62"/>
    </row>
    <row r="41" spans="1:9" s="67" customFormat="1" ht="15">
      <c r="A41" s="451"/>
      <c r="B41" s="452"/>
      <c r="C41" s="227">
        <v>52.9</v>
      </c>
      <c r="D41" s="155">
        <f>E41/C41/12</f>
        <v>11.603402646502836</v>
      </c>
      <c r="E41" s="241">
        <v>7365.84</v>
      </c>
      <c r="F41" s="241">
        <v>6123.74</v>
      </c>
      <c r="G41" s="155">
        <f>E41-F41</f>
        <v>1242.1000000000004</v>
      </c>
      <c r="H41" s="62"/>
      <c r="I41" s="329">
        <v>52.9</v>
      </c>
    </row>
    <row r="42" spans="1:9" s="67" customFormat="1" ht="27.75" customHeight="1">
      <c r="A42" s="433" t="s">
        <v>44</v>
      </c>
      <c r="B42" s="433"/>
      <c r="C42" s="433"/>
      <c r="D42" s="433"/>
      <c r="E42" s="433"/>
      <c r="F42" s="433"/>
      <c r="G42" s="433"/>
      <c r="H42" s="433"/>
      <c r="I42" s="433"/>
    </row>
    <row r="44" spans="1:9" ht="28.5">
      <c r="A44" s="105" t="s">
        <v>11</v>
      </c>
      <c r="B44" s="394" t="s">
        <v>45</v>
      </c>
      <c r="C44" s="405"/>
      <c r="D44" s="105" t="s">
        <v>170</v>
      </c>
      <c r="E44" s="105" t="s">
        <v>169</v>
      </c>
      <c r="F44" s="394" t="s">
        <v>46</v>
      </c>
      <c r="G44" s="405"/>
      <c r="H44" s="173"/>
      <c r="I44" s="173"/>
    </row>
    <row r="45" spans="1:9" s="173" customFormat="1" ht="15">
      <c r="A45" s="109" t="s">
        <v>47</v>
      </c>
      <c r="B45" s="396" t="s">
        <v>114</v>
      </c>
      <c r="C45" s="399"/>
      <c r="D45" s="111"/>
      <c r="E45" s="111"/>
      <c r="F45" s="411">
        <f>SUM(F46:L55)</f>
        <v>464053.13279999996</v>
      </c>
      <c r="G45" s="404"/>
      <c r="H45" s="115"/>
      <c r="I45" s="115"/>
    </row>
    <row r="46" spans="1:7" ht="24.75" customHeight="1">
      <c r="A46" s="34" t="s">
        <v>16</v>
      </c>
      <c r="B46" s="369" t="s">
        <v>558</v>
      </c>
      <c r="C46" s="371"/>
      <c r="D46" s="119" t="s">
        <v>248</v>
      </c>
      <c r="E46" s="119">
        <v>8</v>
      </c>
      <c r="F46" s="410">
        <v>95619.12</v>
      </c>
      <c r="G46" s="410"/>
    </row>
    <row r="47" spans="1:7" ht="13.5" customHeight="1">
      <c r="A47" s="34" t="s">
        <v>18</v>
      </c>
      <c r="B47" s="369" t="s">
        <v>800</v>
      </c>
      <c r="C47" s="371"/>
      <c r="D47" s="119" t="s">
        <v>265</v>
      </c>
      <c r="E47" s="119">
        <v>0.3</v>
      </c>
      <c r="F47" s="410">
        <v>32746.23</v>
      </c>
      <c r="G47" s="410"/>
    </row>
    <row r="48" spans="1:7" ht="13.5" customHeight="1">
      <c r="A48" s="34" t="s">
        <v>20</v>
      </c>
      <c r="B48" s="117" t="s">
        <v>560</v>
      </c>
      <c r="C48" s="118"/>
      <c r="D48" s="119" t="s">
        <v>173</v>
      </c>
      <c r="E48" s="119">
        <v>16</v>
      </c>
      <c r="F48" s="410">
        <v>20800</v>
      </c>
      <c r="G48" s="410"/>
    </row>
    <row r="49" spans="1:7" ht="30" customHeight="1">
      <c r="A49" s="34" t="s">
        <v>22</v>
      </c>
      <c r="B49" s="117" t="s">
        <v>561</v>
      </c>
      <c r="C49" s="118"/>
      <c r="D49" s="119" t="s">
        <v>248</v>
      </c>
      <c r="E49" s="119">
        <v>1</v>
      </c>
      <c r="F49" s="440">
        <v>23800</v>
      </c>
      <c r="G49" s="441"/>
    </row>
    <row r="50" spans="1:7" ht="24.75" customHeight="1">
      <c r="A50" s="34" t="s">
        <v>24</v>
      </c>
      <c r="B50" s="369" t="s">
        <v>562</v>
      </c>
      <c r="C50" s="371"/>
      <c r="D50" s="119" t="s">
        <v>248</v>
      </c>
      <c r="E50" s="119">
        <v>1</v>
      </c>
      <c r="F50" s="420">
        <v>27900</v>
      </c>
      <c r="G50" s="421"/>
    </row>
    <row r="51" spans="1:7" ht="19.5" customHeight="1">
      <c r="A51" s="34" t="s">
        <v>106</v>
      </c>
      <c r="B51" s="117" t="s">
        <v>733</v>
      </c>
      <c r="C51" s="118"/>
      <c r="D51" s="119"/>
      <c r="E51" s="119"/>
      <c r="F51" s="420">
        <v>236256.61</v>
      </c>
      <c r="G51" s="421"/>
    </row>
    <row r="52" spans="1:7" ht="26.25" customHeight="1">
      <c r="A52" s="34" t="s">
        <v>107</v>
      </c>
      <c r="B52" s="369" t="s">
        <v>563</v>
      </c>
      <c r="C52" s="371"/>
      <c r="D52" s="119" t="s">
        <v>248</v>
      </c>
      <c r="E52" s="119">
        <v>1</v>
      </c>
      <c r="F52" s="455">
        <v>23800</v>
      </c>
      <c r="G52" s="456"/>
    </row>
    <row r="53" spans="1:7" ht="21" customHeight="1">
      <c r="A53" s="34" t="s">
        <v>120</v>
      </c>
      <c r="B53" s="369" t="s">
        <v>801</v>
      </c>
      <c r="C53" s="371"/>
      <c r="D53" s="119"/>
      <c r="E53" s="119"/>
      <c r="F53" s="455">
        <v>1980</v>
      </c>
      <c r="G53" s="456"/>
    </row>
    <row r="54" spans="1:7" ht="15.75" customHeight="1">
      <c r="A54" s="34" t="s">
        <v>121</v>
      </c>
      <c r="B54" s="369"/>
      <c r="C54" s="371"/>
      <c r="D54" s="119"/>
      <c r="E54" s="119"/>
      <c r="F54" s="455"/>
      <c r="G54" s="456"/>
    </row>
    <row r="55" spans="1:7" ht="15">
      <c r="A55" s="34" t="s">
        <v>122</v>
      </c>
      <c r="B55" s="150" t="s">
        <v>198</v>
      </c>
      <c r="C55" s="151"/>
      <c r="D55" s="119"/>
      <c r="E55" s="119"/>
      <c r="F55" s="410">
        <f>E26*1%</f>
        <v>1151.1728</v>
      </c>
      <c r="G55" s="410"/>
    </row>
    <row r="56" spans="1:9" ht="15">
      <c r="A56" s="67"/>
      <c r="B56" s="67"/>
      <c r="C56" s="67"/>
      <c r="D56" s="67"/>
      <c r="E56" s="67"/>
      <c r="F56" s="67"/>
      <c r="G56" s="67"/>
      <c r="H56" s="67"/>
      <c r="I56" s="67"/>
    </row>
    <row r="57" spans="1:9" ht="15" customHeight="1">
      <c r="A57" s="67" t="s">
        <v>55</v>
      </c>
      <c r="B57" s="67"/>
      <c r="C57" s="67" t="s">
        <v>49</v>
      </c>
      <c r="D57" s="67"/>
      <c r="E57" s="67"/>
      <c r="F57" s="67" t="s">
        <v>93</v>
      </c>
      <c r="G57" s="67"/>
      <c r="H57" s="67"/>
      <c r="I57" s="67"/>
    </row>
    <row r="58" spans="1:9" ht="15">
      <c r="A58" s="67"/>
      <c r="B58" s="67"/>
      <c r="C58" s="67"/>
      <c r="D58" s="67"/>
      <c r="E58" s="67"/>
      <c r="F58" s="128" t="s">
        <v>516</v>
      </c>
      <c r="G58" s="67"/>
      <c r="H58" s="67"/>
      <c r="I58" s="67"/>
    </row>
    <row r="59" s="67" customFormat="1" ht="15">
      <c r="A59" s="67" t="s">
        <v>50</v>
      </c>
    </row>
    <row r="60" spans="3:7" s="67" customFormat="1" ht="13.5" customHeight="1">
      <c r="C60" s="130" t="s">
        <v>51</v>
      </c>
      <c r="E60" s="130"/>
      <c r="F60" s="130"/>
      <c r="G60" s="130"/>
    </row>
    <row r="61" s="67" customFormat="1" ht="15"/>
  </sheetData>
  <sheetProtection/>
  <mergeCells count="32">
    <mergeCell ref="F55:G55"/>
    <mergeCell ref="B45:C45"/>
    <mergeCell ref="F45:G45"/>
    <mergeCell ref="B46:C46"/>
    <mergeCell ref="F46:G46"/>
    <mergeCell ref="B50:C50"/>
    <mergeCell ref="F50:G50"/>
    <mergeCell ref="B47:C47"/>
    <mergeCell ref="F53:G53"/>
    <mergeCell ref="F54:G54"/>
    <mergeCell ref="A34:F34"/>
    <mergeCell ref="A12:I12"/>
    <mergeCell ref="B52:C52"/>
    <mergeCell ref="F52:G52"/>
    <mergeCell ref="A35:C35"/>
    <mergeCell ref="A42:I42"/>
    <mergeCell ref="B44:C44"/>
    <mergeCell ref="F44:G44"/>
    <mergeCell ref="F51:G51"/>
    <mergeCell ref="F49:G49"/>
    <mergeCell ref="A1:I1"/>
    <mergeCell ref="A2:I2"/>
    <mergeCell ref="A3:K3"/>
    <mergeCell ref="A5:I5"/>
    <mergeCell ref="A10:I10"/>
    <mergeCell ref="A11:I11"/>
    <mergeCell ref="B53:C53"/>
    <mergeCell ref="B54:C54"/>
    <mergeCell ref="A40:B41"/>
    <mergeCell ref="A39:B39"/>
    <mergeCell ref="F47:G47"/>
    <mergeCell ref="F48:G4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M54"/>
  <sheetViews>
    <sheetView zoomScalePageLayoutView="0" workbookViewId="0" topLeftCell="A25">
      <selection activeCell="G37" sqref="G37"/>
    </sheetView>
  </sheetViews>
  <sheetFormatPr defaultColWidth="9.140625" defaultRowHeight="15" outlineLevelCol="1"/>
  <cols>
    <col min="1" max="1" width="5.57421875" style="35" customWidth="1"/>
    <col min="2" max="2" width="51.00390625" style="35" customWidth="1"/>
    <col min="3" max="3" width="13.00390625" style="35" customWidth="1"/>
    <col min="4" max="4" width="12.8515625" style="35" customWidth="1"/>
    <col min="5" max="5" width="12.7109375" style="35" customWidth="1"/>
    <col min="6" max="6" width="14.0039062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7.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.7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6" customHeight="1"/>
    <row r="7" spans="1:6" s="67" customFormat="1" ht="16.5" customHeight="1">
      <c r="A7" s="67" t="s">
        <v>2</v>
      </c>
      <c r="F7" s="128" t="s">
        <v>83</v>
      </c>
    </row>
    <row r="8" spans="1:6" s="67" customFormat="1" ht="15">
      <c r="A8" s="67" t="s">
        <v>3</v>
      </c>
      <c r="F8" s="299" t="s">
        <v>84</v>
      </c>
    </row>
    <row r="9" s="67" customFormat="1" ht="6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'[1]Пионерская 18'!$G$37</f>
        <v>22432.25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'[1]Пионерская 18'!$G$38</f>
        <v>-237286.6143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15.75" customHeight="1">
      <c r="A18" s="75" t="s">
        <v>14</v>
      </c>
      <c r="B18" s="41" t="s">
        <v>15</v>
      </c>
      <c r="C18" s="137">
        <f>C19+C20+C21+C22</f>
        <v>9.879999999999999</v>
      </c>
      <c r="D18" s="76">
        <v>358581.83</v>
      </c>
      <c r="E18" s="76">
        <v>332751.88</v>
      </c>
      <c r="F18" s="76">
        <f aca="true" t="shared" si="0" ref="F18:F25">D18</f>
        <v>358581.83</v>
      </c>
      <c r="G18" s="77">
        <f>D18-E18</f>
        <v>25829.95000000001</v>
      </c>
      <c r="H18" s="147">
        <f>C18</f>
        <v>9.879999999999999</v>
      </c>
    </row>
    <row r="19" spans="1:9" s="67" customFormat="1" ht="15.75" customHeight="1">
      <c r="A19" s="81" t="s">
        <v>16</v>
      </c>
      <c r="B19" s="34" t="s">
        <v>17</v>
      </c>
      <c r="C19" s="99">
        <v>3.46</v>
      </c>
      <c r="D19" s="83">
        <f>D18*I19</f>
        <v>125576.22791497977</v>
      </c>
      <c r="E19" s="83">
        <f>E18*I19</f>
        <v>116530.51668016195</v>
      </c>
      <c r="F19" s="83">
        <f t="shared" si="0"/>
        <v>125576.22791497977</v>
      </c>
      <c r="G19" s="84">
        <f>D19-E19</f>
        <v>9045.71123481782</v>
      </c>
      <c r="H19" s="147">
        <f>C19</f>
        <v>3.46</v>
      </c>
      <c r="I19" s="67">
        <f>H19/H18</f>
        <v>0.3502024291497976</v>
      </c>
    </row>
    <row r="20" spans="1:9" s="67" customFormat="1" ht="15.75" customHeight="1">
      <c r="A20" s="81" t="s">
        <v>18</v>
      </c>
      <c r="B20" s="34" t="s">
        <v>19</v>
      </c>
      <c r="C20" s="99">
        <v>1.69</v>
      </c>
      <c r="D20" s="83">
        <f>D18*I20</f>
        <v>61336.36565789474</v>
      </c>
      <c r="E20" s="83">
        <f>E18*I20</f>
        <v>56918.08473684211</v>
      </c>
      <c r="F20" s="83">
        <f t="shared" si="0"/>
        <v>61336.36565789474</v>
      </c>
      <c r="G20" s="84">
        <f>D20-E20</f>
        <v>4418.280921052632</v>
      </c>
      <c r="H20" s="147">
        <f>C20</f>
        <v>1.69</v>
      </c>
      <c r="I20" s="67">
        <f>H20/H18</f>
        <v>0.17105263157894737</v>
      </c>
    </row>
    <row r="21" spans="1:9" s="67" customFormat="1" ht="15.75" customHeight="1">
      <c r="A21" s="81" t="s">
        <v>20</v>
      </c>
      <c r="B21" s="34" t="s">
        <v>21</v>
      </c>
      <c r="C21" s="99">
        <v>1.69</v>
      </c>
      <c r="D21" s="83">
        <f>D18*I21</f>
        <v>61336.36565789474</v>
      </c>
      <c r="E21" s="83">
        <f>E18*I21</f>
        <v>56918.08473684211</v>
      </c>
      <c r="F21" s="83">
        <f t="shared" si="0"/>
        <v>61336.36565789474</v>
      </c>
      <c r="G21" s="84">
        <f>D21-E21</f>
        <v>4418.280921052632</v>
      </c>
      <c r="H21" s="147">
        <f>C21</f>
        <v>1.69</v>
      </c>
      <c r="I21" s="67">
        <f>H21/H18</f>
        <v>0.17105263157894737</v>
      </c>
    </row>
    <row r="22" spans="1:9" s="67" customFormat="1" ht="15.75" customHeight="1">
      <c r="A22" s="81" t="s">
        <v>22</v>
      </c>
      <c r="B22" s="34" t="s">
        <v>23</v>
      </c>
      <c r="C22" s="99">
        <v>3.04</v>
      </c>
      <c r="D22" s="83">
        <f>D18*I22</f>
        <v>110332.87076923078</v>
      </c>
      <c r="E22" s="83">
        <f>E18*I22</f>
        <v>102385.19384615385</v>
      </c>
      <c r="F22" s="83">
        <f t="shared" si="0"/>
        <v>110332.87076923078</v>
      </c>
      <c r="G22" s="84">
        <f>D22-E22</f>
        <v>7947.676923076928</v>
      </c>
      <c r="H22" s="147">
        <f>C22</f>
        <v>3.04</v>
      </c>
      <c r="I22" s="67">
        <f>H22/H18</f>
        <v>0.3076923076923077</v>
      </c>
    </row>
    <row r="23" spans="1:7" ht="15.75" customHeight="1">
      <c r="A23" s="41" t="s">
        <v>25</v>
      </c>
      <c r="B23" s="142" t="s">
        <v>141</v>
      </c>
      <c r="C23" s="46">
        <v>0</v>
      </c>
      <c r="D23" s="77">
        <v>0</v>
      </c>
      <c r="E23" s="77">
        <v>0</v>
      </c>
      <c r="F23" s="77">
        <f t="shared" si="0"/>
        <v>0</v>
      </c>
      <c r="G23" s="77">
        <f aca="true" t="shared" si="1" ref="G23:G33">D23-E23</f>
        <v>0</v>
      </c>
    </row>
    <row r="24" spans="1:7" ht="15.75" customHeight="1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11" ht="15.75" customHeight="1">
      <c r="A25" s="41" t="s">
        <v>29</v>
      </c>
      <c r="B25" s="142" t="s">
        <v>168</v>
      </c>
      <c r="C25" s="205">
        <v>0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  <c r="H25" s="211">
        <v>1</v>
      </c>
      <c r="I25" s="211">
        <v>1</v>
      </c>
      <c r="J25" s="457" t="s">
        <v>314</v>
      </c>
      <c r="K25" s="458"/>
    </row>
    <row r="26" spans="1:13" ht="15.75" customHeight="1">
      <c r="A26" s="41" t="s">
        <v>31</v>
      </c>
      <c r="B26" s="142" t="s">
        <v>119</v>
      </c>
      <c r="C26" s="97">
        <v>1.86</v>
      </c>
      <c r="D26" s="77">
        <v>62289.6</v>
      </c>
      <c r="E26" s="77">
        <v>62549.63</v>
      </c>
      <c r="F26" s="87">
        <f>F43</f>
        <v>44530.7663</v>
      </c>
      <c r="G26" s="77">
        <f t="shared" si="1"/>
        <v>-260.02999999999884</v>
      </c>
      <c r="M26" s="161"/>
    </row>
    <row r="27" spans="1:7" ht="15.75" customHeight="1">
      <c r="A27" s="41" t="s">
        <v>33</v>
      </c>
      <c r="B27" s="136" t="s">
        <v>34</v>
      </c>
      <c r="C27" s="46">
        <v>0</v>
      </c>
      <c r="D27" s="77">
        <v>0</v>
      </c>
      <c r="E27" s="77">
        <v>657.15</v>
      </c>
      <c r="F27" s="87">
        <v>0</v>
      </c>
      <c r="G27" s="77">
        <f t="shared" si="1"/>
        <v>-657.15</v>
      </c>
    </row>
    <row r="28" spans="1:7" ht="15.75" customHeight="1">
      <c r="A28" s="41" t="s">
        <v>35</v>
      </c>
      <c r="B28" s="136" t="s">
        <v>36</v>
      </c>
      <c r="C28" s="97"/>
      <c r="D28" s="77">
        <f>SUM(D29:D32)</f>
        <v>1411524.6</v>
      </c>
      <c r="E28" s="77">
        <f>SUM(E29:E32)</f>
        <v>1409228.78</v>
      </c>
      <c r="F28" s="77">
        <f>SUM(F29:F32)</f>
        <v>1411524.6</v>
      </c>
      <c r="G28" s="77">
        <f t="shared" si="1"/>
        <v>2295.820000000065</v>
      </c>
    </row>
    <row r="29" spans="1:7" ht="15.75" customHeight="1">
      <c r="A29" s="34" t="s">
        <v>37</v>
      </c>
      <c r="B29" s="34" t="s">
        <v>172</v>
      </c>
      <c r="C29" s="293" t="s">
        <v>379</v>
      </c>
      <c r="D29" s="84">
        <v>36574.5</v>
      </c>
      <c r="E29" s="84">
        <v>36891.06</v>
      </c>
      <c r="F29" s="84">
        <f>D29</f>
        <v>36574.5</v>
      </c>
      <c r="G29" s="84">
        <f t="shared" si="1"/>
        <v>-316.5599999999977</v>
      </c>
    </row>
    <row r="30" spans="1:7" ht="15.75" customHeight="1">
      <c r="A30" s="34" t="s">
        <v>39</v>
      </c>
      <c r="B30" s="34" t="s">
        <v>142</v>
      </c>
      <c r="C30" s="293" t="s">
        <v>382</v>
      </c>
      <c r="D30" s="84">
        <v>331275.54</v>
      </c>
      <c r="E30" s="84">
        <v>336840.18</v>
      </c>
      <c r="F30" s="84">
        <f>D30</f>
        <v>331275.54</v>
      </c>
      <c r="G30" s="84">
        <f t="shared" si="1"/>
        <v>-5564.640000000014</v>
      </c>
    </row>
    <row r="31" spans="1:7" ht="15.75" customHeight="1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.75" customHeight="1">
      <c r="A32" s="34" t="s">
        <v>41</v>
      </c>
      <c r="B32" s="34" t="s">
        <v>43</v>
      </c>
      <c r="C32" s="293" t="s">
        <v>380</v>
      </c>
      <c r="D32" s="84">
        <v>1043674.56</v>
      </c>
      <c r="E32" s="84">
        <v>1035497.54</v>
      </c>
      <c r="F32" s="84">
        <f>D32</f>
        <v>1043674.56</v>
      </c>
      <c r="G32" s="84">
        <f t="shared" si="1"/>
        <v>8177.020000000019</v>
      </c>
      <c r="H32" s="101"/>
      <c r="I32" s="101"/>
    </row>
    <row r="33" spans="1:9" ht="15.75" customHeight="1">
      <c r="A33" s="194" t="s">
        <v>345</v>
      </c>
      <c r="B33" s="344" t="s">
        <v>350</v>
      </c>
      <c r="C33" s="293"/>
      <c r="D33" s="295">
        <f>3000+4800+3600+3000</f>
        <v>14400</v>
      </c>
      <c r="E33" s="295">
        <f>3000+4780+3600+3000</f>
        <v>14380</v>
      </c>
      <c r="F33" s="326">
        <v>0</v>
      </c>
      <c r="G33" s="295">
        <f t="shared" si="1"/>
        <v>20</v>
      </c>
      <c r="H33" s="101"/>
      <c r="I33" s="101"/>
    </row>
    <row r="34" spans="1:9" ht="15.75" customHeight="1" thickBot="1">
      <c r="A34" s="363" t="s">
        <v>378</v>
      </c>
      <c r="B34" s="364"/>
      <c r="C34" s="364"/>
      <c r="D34" s="365"/>
      <c r="E34" s="365"/>
      <c r="F34" s="365"/>
      <c r="G34" s="172"/>
      <c r="H34" s="101"/>
      <c r="I34" s="101"/>
    </row>
    <row r="35" spans="1:10" s="102" customFormat="1" ht="14.25" thickBot="1">
      <c r="A35" s="378" t="s">
        <v>383</v>
      </c>
      <c r="B35" s="379"/>
      <c r="C35" s="379"/>
      <c r="D35" s="65">
        <v>429403.5</v>
      </c>
      <c r="E35" s="66"/>
      <c r="F35" s="66"/>
      <c r="G35" s="66"/>
      <c r="H35" s="62"/>
      <c r="I35" s="62"/>
      <c r="J35" s="101"/>
    </row>
    <row r="36" spans="1:9" s="67" customFormat="1" ht="8.25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386</v>
      </c>
      <c r="B37" s="64"/>
      <c r="C37" s="64"/>
      <c r="D37" s="69"/>
      <c r="E37" s="70"/>
      <c r="F37" s="70"/>
      <c r="G37" s="146">
        <f>G14+E27-F27</f>
        <v>23089.4</v>
      </c>
      <c r="H37" s="62"/>
      <c r="I37" s="62"/>
    </row>
    <row r="38" spans="1:9" s="67" customFormat="1" ht="15.75" thickBot="1">
      <c r="A38" s="63" t="s">
        <v>387</v>
      </c>
      <c r="B38" s="64"/>
      <c r="C38" s="64"/>
      <c r="D38" s="69"/>
      <c r="E38" s="70"/>
      <c r="F38" s="70"/>
      <c r="G38" s="146">
        <f>G15+E26-F26</f>
        <v>-219267.75059999997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27.75" customHeight="1">
      <c r="A40" s="433" t="s">
        <v>44</v>
      </c>
      <c r="B40" s="433"/>
      <c r="C40" s="433"/>
      <c r="D40" s="433"/>
      <c r="E40" s="433"/>
      <c r="F40" s="433"/>
      <c r="G40" s="433"/>
      <c r="H40" s="433"/>
      <c r="I40" s="433"/>
    </row>
    <row r="42" spans="1:9" ht="28.5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5"/>
      <c r="H42" s="173"/>
      <c r="I42" s="173"/>
    </row>
    <row r="43" spans="1:9" s="173" customFormat="1" ht="15">
      <c r="A43" s="109" t="s">
        <v>47</v>
      </c>
      <c r="B43" s="396" t="s">
        <v>114</v>
      </c>
      <c r="C43" s="399"/>
      <c r="D43" s="111"/>
      <c r="E43" s="111"/>
      <c r="F43" s="411">
        <f>SUM(F44:L49)</f>
        <v>44530.7663</v>
      </c>
      <c r="G43" s="404"/>
      <c r="H43" s="115"/>
      <c r="I43" s="115"/>
    </row>
    <row r="44" spans="1:9" s="115" customFormat="1" ht="13.5" customHeight="1">
      <c r="A44" s="34" t="s">
        <v>16</v>
      </c>
      <c r="B44" s="369" t="s">
        <v>565</v>
      </c>
      <c r="C44" s="371"/>
      <c r="D44" s="119"/>
      <c r="E44" s="119"/>
      <c r="F44" s="420">
        <v>912</v>
      </c>
      <c r="G44" s="421"/>
      <c r="H44" s="35"/>
      <c r="I44" s="35"/>
    </row>
    <row r="45" spans="1:7" ht="13.5" customHeight="1">
      <c r="A45" s="34" t="s">
        <v>18</v>
      </c>
      <c r="B45" s="369" t="s">
        <v>519</v>
      </c>
      <c r="C45" s="371"/>
      <c r="D45" s="119" t="s">
        <v>248</v>
      </c>
      <c r="E45" s="122">
        <v>1</v>
      </c>
      <c r="F45" s="410">
        <v>69.7</v>
      </c>
      <c r="G45" s="410"/>
    </row>
    <row r="46" spans="1:7" ht="30.75" customHeight="1">
      <c r="A46" s="34" t="s">
        <v>20</v>
      </c>
      <c r="B46" s="117" t="s">
        <v>506</v>
      </c>
      <c r="C46" s="118"/>
      <c r="D46" s="119" t="s">
        <v>248</v>
      </c>
      <c r="E46" s="122">
        <v>1</v>
      </c>
      <c r="F46" s="440">
        <v>30410</v>
      </c>
      <c r="G46" s="441"/>
    </row>
    <row r="47" spans="1:7" ht="13.5" customHeight="1">
      <c r="A47" s="34" t="s">
        <v>22</v>
      </c>
      <c r="B47" s="369" t="s">
        <v>566</v>
      </c>
      <c r="C47" s="415"/>
      <c r="D47" s="119" t="s">
        <v>240</v>
      </c>
      <c r="E47" s="154">
        <v>0.06</v>
      </c>
      <c r="F47" s="398">
        <v>3013.57</v>
      </c>
      <c r="G47" s="398"/>
    </row>
    <row r="48" spans="1:7" ht="13.5" customHeight="1">
      <c r="A48" s="34" t="s">
        <v>24</v>
      </c>
      <c r="B48" s="117" t="s">
        <v>795</v>
      </c>
      <c r="C48" s="356"/>
      <c r="D48" s="119"/>
      <c r="E48" s="154"/>
      <c r="F48" s="398">
        <v>9500</v>
      </c>
      <c r="G48" s="398"/>
    </row>
    <row r="49" spans="1:7" ht="15">
      <c r="A49" s="34" t="s">
        <v>106</v>
      </c>
      <c r="B49" s="150" t="s">
        <v>198</v>
      </c>
      <c r="C49" s="151"/>
      <c r="D49" s="119"/>
      <c r="E49" s="119"/>
      <c r="F49" s="410">
        <f>E26*1%</f>
        <v>625.4963</v>
      </c>
      <c r="G49" s="410"/>
    </row>
    <row r="50" spans="1:9" ht="15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15" customHeight="1">
      <c r="A51" s="67" t="s">
        <v>55</v>
      </c>
      <c r="B51" s="67"/>
      <c r="C51" s="67" t="s">
        <v>49</v>
      </c>
      <c r="D51" s="67"/>
      <c r="E51" s="67"/>
      <c r="F51" s="67" t="s">
        <v>93</v>
      </c>
      <c r="G51" s="67"/>
      <c r="H51" s="67"/>
      <c r="I51" s="67"/>
    </row>
    <row r="52" spans="1:9" ht="15">
      <c r="A52" s="67"/>
      <c r="B52" s="67"/>
      <c r="C52" s="67"/>
      <c r="D52" s="67"/>
      <c r="E52" s="67"/>
      <c r="F52" s="128" t="s">
        <v>516</v>
      </c>
      <c r="G52" s="67"/>
      <c r="H52" s="67"/>
      <c r="I52" s="67"/>
    </row>
    <row r="53" s="67" customFormat="1" ht="15">
      <c r="A53" s="67" t="s">
        <v>50</v>
      </c>
    </row>
    <row r="54" spans="3:7" s="67" customFormat="1" ht="13.5" customHeight="1">
      <c r="C54" s="130" t="s">
        <v>51</v>
      </c>
      <c r="E54" s="130"/>
      <c r="F54" s="130"/>
      <c r="G54" s="130"/>
    </row>
    <row r="55" s="67" customFormat="1" ht="15"/>
  </sheetData>
  <sheetProtection/>
  <mergeCells count="24">
    <mergeCell ref="F45:G45"/>
    <mergeCell ref="A34:F34"/>
    <mergeCell ref="F44:G44"/>
    <mergeCell ref="A35:C35"/>
    <mergeCell ref="A40:I40"/>
    <mergeCell ref="F46:G46"/>
    <mergeCell ref="F49:G49"/>
    <mergeCell ref="F47:G47"/>
    <mergeCell ref="B42:C42"/>
    <mergeCell ref="F42:G42"/>
    <mergeCell ref="B43:C43"/>
    <mergeCell ref="F48:G48"/>
    <mergeCell ref="F43:G43"/>
    <mergeCell ref="B44:C44"/>
    <mergeCell ref="B45:C45"/>
    <mergeCell ref="B47:C47"/>
    <mergeCell ref="J25:K25"/>
    <mergeCell ref="A12:I12"/>
    <mergeCell ref="A1:I1"/>
    <mergeCell ref="A2:I2"/>
    <mergeCell ref="A5:I5"/>
    <mergeCell ref="A10:I10"/>
    <mergeCell ref="A3:K3"/>
    <mergeCell ref="A11:I1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51"/>
  <sheetViews>
    <sheetView zoomScalePageLayoutView="0" workbookViewId="0" topLeftCell="A25">
      <selection activeCell="H35" sqref="H35"/>
    </sheetView>
  </sheetViews>
  <sheetFormatPr defaultColWidth="9.140625" defaultRowHeight="15" outlineLevelCol="1"/>
  <cols>
    <col min="1" max="1" width="5.57421875" style="35" customWidth="1"/>
    <col min="2" max="2" width="40.28125" style="35" bestFit="1" customWidth="1"/>
    <col min="3" max="3" width="13.7109375" style="35" customWidth="1"/>
    <col min="4" max="4" width="13.421875" style="35" customWidth="1"/>
    <col min="5" max="5" width="13.00390625" style="35" customWidth="1"/>
    <col min="6" max="6" width="12.7109375" style="35" customWidth="1"/>
    <col min="7" max="7" width="13.28125" style="35" customWidth="1"/>
    <col min="8" max="8" width="10.8515625" style="35" customWidth="1" outlineLevel="1"/>
    <col min="9" max="9" width="13.421875" style="35" customWidth="1" outlineLevel="1"/>
    <col min="10" max="12" width="9.140625" style="35" customWidth="1" outlineLevel="1"/>
    <col min="13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6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18.7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6.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7" spans="1:6" s="67" customFormat="1" ht="16.5" customHeight="1">
      <c r="A7" s="67" t="s">
        <v>2</v>
      </c>
      <c r="F7" s="128" t="s">
        <v>123</v>
      </c>
    </row>
    <row r="8" spans="1:9" s="67" customFormat="1" ht="15">
      <c r="A8" s="67" t="s">
        <v>3</v>
      </c>
      <c r="F8" s="128" t="s">
        <v>323</v>
      </c>
      <c r="I8" s="204" t="s">
        <v>324</v>
      </c>
    </row>
    <row r="9" s="67" customFormat="1" ht="15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288">
        <f>'[1] Пионерская 1318 кв.1-50'!$G$36</f>
        <v>-2316.25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288">
        <f>'[1] Пионерская 1318 кв.1-50'!$G$37</f>
        <v>-53350.216025</v>
      </c>
      <c r="H15" s="62"/>
      <c r="I15" s="62"/>
    </row>
    <row r="16" s="67" customFormat="1" ht="8.25" customHeight="1"/>
    <row r="17" spans="1:8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  <c r="H17" s="72"/>
    </row>
    <row r="18" spans="1:8" s="169" customFormat="1" ht="14.25">
      <c r="A18" s="75" t="s">
        <v>14</v>
      </c>
      <c r="B18" s="136" t="s">
        <v>15</v>
      </c>
      <c r="C18" s="137">
        <f>C19+C20+C21+C22</f>
        <v>9.879999999999999</v>
      </c>
      <c r="D18" s="76">
        <v>314095.94</v>
      </c>
      <c r="E18" s="76">
        <v>289711.33</v>
      </c>
      <c r="F18" s="76">
        <f>D18</f>
        <v>314095.94</v>
      </c>
      <c r="G18" s="77">
        <f>D18-E18</f>
        <v>24384.609999999986</v>
      </c>
      <c r="H18" s="168">
        <f>C18</f>
        <v>9.879999999999999</v>
      </c>
    </row>
    <row r="19" spans="1:9" s="67" customFormat="1" ht="15">
      <c r="A19" s="81" t="s">
        <v>16</v>
      </c>
      <c r="B19" s="141" t="s">
        <v>17</v>
      </c>
      <c r="C19" s="99">
        <v>3.46</v>
      </c>
      <c r="D19" s="83">
        <f>D18*I19</f>
        <v>109997.16117408908</v>
      </c>
      <c r="E19" s="83">
        <f>E18*I19</f>
        <v>101457.61151821863</v>
      </c>
      <c r="F19" s="83">
        <f>D19</f>
        <v>109997.16117408908</v>
      </c>
      <c r="G19" s="84">
        <f>D19-E19</f>
        <v>8539.549655870447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141" t="s">
        <v>19</v>
      </c>
      <c r="C20" s="99">
        <v>1.69</v>
      </c>
      <c r="D20" s="83">
        <f>D18*I20</f>
        <v>53726.93710526316</v>
      </c>
      <c r="E20" s="83">
        <f>E18*I20</f>
        <v>49555.88539473685</v>
      </c>
      <c r="F20" s="83">
        <f>D20</f>
        <v>53726.93710526316</v>
      </c>
      <c r="G20" s="84">
        <f>D20-E20</f>
        <v>4171.051710526313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141" t="s">
        <v>21</v>
      </c>
      <c r="C21" s="99">
        <v>1.69</v>
      </c>
      <c r="D21" s="83">
        <f>D18*I21</f>
        <v>53726.93710526316</v>
      </c>
      <c r="E21" s="83">
        <f>E18*I21</f>
        <v>49555.88539473685</v>
      </c>
      <c r="F21" s="83">
        <f>D21</f>
        <v>53726.93710526316</v>
      </c>
      <c r="G21" s="84">
        <f>D21-E21</f>
        <v>4171.051710526313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141" t="s">
        <v>23</v>
      </c>
      <c r="C22" s="99">
        <v>3.04</v>
      </c>
      <c r="D22" s="83">
        <f>D18*I22</f>
        <v>96644.90461538463</v>
      </c>
      <c r="E22" s="83">
        <f>E18*I22</f>
        <v>89141.9476923077</v>
      </c>
      <c r="F22" s="83">
        <f>D22</f>
        <v>96644.90461538463</v>
      </c>
      <c r="G22" s="84">
        <f>D22-E22</f>
        <v>7502.956923076927</v>
      </c>
      <c r="H22" s="147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2" t="s">
        <v>28</v>
      </c>
      <c r="C23" s="143">
        <v>0</v>
      </c>
      <c r="D23" s="77">
        <v>0</v>
      </c>
      <c r="E23" s="77">
        <v>0</v>
      </c>
      <c r="F23" s="77">
        <v>0</v>
      </c>
      <c r="G23" s="77">
        <f aca="true" t="shared" si="0" ref="G23:G32">D23-E23</f>
        <v>0</v>
      </c>
    </row>
    <row r="24" spans="1:7" s="39" customFormat="1" ht="14.25">
      <c r="A24" s="41" t="s">
        <v>27</v>
      </c>
      <c r="B24" s="142" t="s">
        <v>168</v>
      </c>
      <c r="C24" s="143" t="s">
        <v>395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s="39" customFormat="1" ht="14.25">
      <c r="A25" s="41" t="s">
        <v>29</v>
      </c>
      <c r="B25" s="142" t="s">
        <v>119</v>
      </c>
      <c r="C25" s="143">
        <v>1.86</v>
      </c>
      <c r="D25" s="77">
        <v>56504.88</v>
      </c>
      <c r="E25" s="77">
        <v>54610.04</v>
      </c>
      <c r="F25" s="87">
        <f>F42</f>
        <v>24736.1004</v>
      </c>
      <c r="G25" s="77">
        <f t="shared" si="0"/>
        <v>1894.8399999999965</v>
      </c>
    </row>
    <row r="26" spans="1:7" s="39" customFormat="1" ht="14.25">
      <c r="A26" s="41" t="s">
        <v>205</v>
      </c>
      <c r="B26" s="136" t="s">
        <v>34</v>
      </c>
      <c r="C26" s="137">
        <v>0</v>
      </c>
      <c r="D26" s="77">
        <v>0</v>
      </c>
      <c r="E26" s="77">
        <v>3.86</v>
      </c>
      <c r="F26" s="87">
        <f>D26</f>
        <v>0</v>
      </c>
      <c r="G26" s="77">
        <f t="shared" si="0"/>
        <v>-3.86</v>
      </c>
    </row>
    <row r="27" spans="1:7" s="39" customFormat="1" ht="14.25">
      <c r="A27" s="41" t="s">
        <v>206</v>
      </c>
      <c r="B27" s="136" t="s">
        <v>36</v>
      </c>
      <c r="C27" s="137"/>
      <c r="D27" s="77">
        <f>SUM(D28:D31)</f>
        <v>1145363.9700000002</v>
      </c>
      <c r="E27" s="77">
        <f>SUM(E28:E31)</f>
        <v>1104611.18</v>
      </c>
      <c r="F27" s="77">
        <f>SUM(F28:F31)</f>
        <v>1145363.9700000002</v>
      </c>
      <c r="G27" s="77">
        <f t="shared" si="0"/>
        <v>40752.79000000027</v>
      </c>
    </row>
    <row r="28" spans="1:7" ht="15">
      <c r="A28" s="34" t="s">
        <v>207</v>
      </c>
      <c r="B28" s="34" t="s">
        <v>172</v>
      </c>
      <c r="C28" s="293" t="s">
        <v>379</v>
      </c>
      <c r="D28" s="295">
        <v>22934.9</v>
      </c>
      <c r="E28" s="295">
        <v>22141.24</v>
      </c>
      <c r="F28" s="297">
        <f>D28</f>
        <v>22934.9</v>
      </c>
      <c r="G28" s="84">
        <f t="shared" si="0"/>
        <v>793.6599999999999</v>
      </c>
    </row>
    <row r="29" spans="1:7" ht="15">
      <c r="A29" s="34" t="s">
        <v>208</v>
      </c>
      <c r="B29" s="34" t="s">
        <v>142</v>
      </c>
      <c r="C29" s="293" t="s">
        <v>382</v>
      </c>
      <c r="D29" s="295">
        <v>329389.65</v>
      </c>
      <c r="E29" s="295">
        <v>320390.8</v>
      </c>
      <c r="F29" s="297">
        <f>D29</f>
        <v>329389.65</v>
      </c>
      <c r="G29" s="84">
        <f t="shared" si="0"/>
        <v>8998.850000000035</v>
      </c>
    </row>
    <row r="30" spans="1:7" ht="15">
      <c r="A30" s="34" t="s">
        <v>209</v>
      </c>
      <c r="B30" s="34" t="s">
        <v>40</v>
      </c>
      <c r="C30" s="145">
        <v>0</v>
      </c>
      <c r="D30" s="295">
        <v>0</v>
      </c>
      <c r="E30" s="295">
        <v>0</v>
      </c>
      <c r="F30" s="297">
        <f>D30</f>
        <v>0</v>
      </c>
      <c r="G30" s="84">
        <f t="shared" si="0"/>
        <v>0</v>
      </c>
    </row>
    <row r="31" spans="1:7" ht="15">
      <c r="A31" s="34" t="s">
        <v>210</v>
      </c>
      <c r="B31" s="34" t="s">
        <v>43</v>
      </c>
      <c r="C31" s="293" t="s">
        <v>380</v>
      </c>
      <c r="D31" s="295">
        <v>793039.42</v>
      </c>
      <c r="E31" s="295">
        <v>762079.14</v>
      </c>
      <c r="F31" s="297">
        <f>D31</f>
        <v>793039.42</v>
      </c>
      <c r="G31" s="84">
        <f t="shared" si="0"/>
        <v>30960.280000000028</v>
      </c>
    </row>
    <row r="32" spans="1:12" ht="15">
      <c r="A32" s="41" t="s">
        <v>35</v>
      </c>
      <c r="B32" s="344" t="s">
        <v>346</v>
      </c>
      <c r="C32" s="99"/>
      <c r="D32" s="295">
        <v>13594</v>
      </c>
      <c r="E32" s="295">
        <v>13594</v>
      </c>
      <c r="F32" s="297">
        <v>0</v>
      </c>
      <c r="G32" s="84">
        <f t="shared" si="0"/>
        <v>0</v>
      </c>
      <c r="I32" s="35">
        <v>3000</v>
      </c>
      <c r="J32" s="35">
        <v>3216</v>
      </c>
      <c r="K32" s="35">
        <v>3600</v>
      </c>
      <c r="L32" s="35">
        <v>5538</v>
      </c>
    </row>
    <row r="33" spans="1:7" ht="15">
      <c r="A33" s="363" t="s">
        <v>378</v>
      </c>
      <c r="B33" s="364"/>
      <c r="C33" s="364"/>
      <c r="D33" s="365"/>
      <c r="E33" s="365"/>
      <c r="F33" s="365"/>
      <c r="G33" s="298"/>
    </row>
    <row r="34" spans="1:9" s="67" customFormat="1" ht="15.75" thickBot="1">
      <c r="A34" s="401" t="s">
        <v>383</v>
      </c>
      <c r="B34" s="402"/>
      <c r="C34" s="402"/>
      <c r="D34" s="278">
        <v>424915.39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288">
        <f>G14+E26-F26</f>
        <v>-2312.39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288">
        <f>G15+E25-F25</f>
        <v>-23476.276425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33.75" customHeight="1">
      <c r="A39" s="367" t="s">
        <v>44</v>
      </c>
      <c r="B39" s="403"/>
      <c r="C39" s="403"/>
      <c r="D39" s="403"/>
      <c r="E39" s="403"/>
      <c r="F39" s="403"/>
      <c r="G39" s="403"/>
      <c r="H39" s="58"/>
      <c r="I39" s="58"/>
    </row>
    <row r="41" spans="1:7" s="173" customFormat="1" ht="28.5" customHeight="1">
      <c r="A41" s="105" t="s">
        <v>11</v>
      </c>
      <c r="B41" s="394" t="s">
        <v>45</v>
      </c>
      <c r="C41" s="405"/>
      <c r="D41" s="105" t="s">
        <v>170</v>
      </c>
      <c r="E41" s="105" t="s">
        <v>169</v>
      </c>
      <c r="F41" s="394" t="s">
        <v>46</v>
      </c>
      <c r="G41" s="404"/>
    </row>
    <row r="42" spans="1:7" s="115" customFormat="1" ht="15" customHeight="1">
      <c r="A42" s="109" t="s">
        <v>47</v>
      </c>
      <c r="B42" s="396" t="s">
        <v>114</v>
      </c>
      <c r="C42" s="399"/>
      <c r="D42" s="289"/>
      <c r="E42" s="289"/>
      <c r="F42" s="406">
        <f>SUM(F43:G46)</f>
        <v>24736.1004</v>
      </c>
      <c r="G42" s="407"/>
    </row>
    <row r="43" spans="1:7" ht="16.5" customHeight="1">
      <c r="A43" s="34" t="s">
        <v>16</v>
      </c>
      <c r="B43" s="369" t="s">
        <v>790</v>
      </c>
      <c r="C43" s="371"/>
      <c r="D43" s="119"/>
      <c r="E43" s="119"/>
      <c r="F43" s="398">
        <v>1190</v>
      </c>
      <c r="G43" s="398"/>
    </row>
    <row r="44" spans="1:7" ht="18.75" customHeight="1">
      <c r="A44" s="34" t="s">
        <v>18</v>
      </c>
      <c r="B44" s="369" t="s">
        <v>793</v>
      </c>
      <c r="C44" s="371"/>
      <c r="D44" s="119"/>
      <c r="E44" s="119"/>
      <c r="F44" s="398">
        <v>8000</v>
      </c>
      <c r="G44" s="398"/>
    </row>
    <row r="45" spans="1:7" ht="18.75" customHeight="1">
      <c r="A45" s="34" t="s">
        <v>20</v>
      </c>
      <c r="B45" s="369" t="s">
        <v>811</v>
      </c>
      <c r="C45" s="371"/>
      <c r="D45" s="119" t="s">
        <v>248</v>
      </c>
      <c r="E45" s="119">
        <v>3</v>
      </c>
      <c r="F45" s="398">
        <v>15000</v>
      </c>
      <c r="G45" s="398"/>
    </row>
    <row r="46" spans="1:7" ht="15.75" customHeight="1">
      <c r="A46" s="34" t="s">
        <v>22</v>
      </c>
      <c r="B46" s="383" t="s">
        <v>198</v>
      </c>
      <c r="C46" s="400"/>
      <c r="D46" s="290"/>
      <c r="E46" s="290"/>
      <c r="F46" s="398">
        <f>E25*1%</f>
        <v>546.1004</v>
      </c>
      <c r="G46" s="398"/>
    </row>
    <row r="47" spans="2:5" ht="15">
      <c r="B47" s="156"/>
      <c r="C47" s="156"/>
      <c r="D47" s="156"/>
      <c r="E47" s="156"/>
    </row>
    <row r="48" spans="1:6" s="67" customFormat="1" ht="15">
      <c r="A48" s="67" t="s">
        <v>55</v>
      </c>
      <c r="C48" s="67" t="s">
        <v>49</v>
      </c>
      <c r="F48" s="67" t="s">
        <v>93</v>
      </c>
    </row>
    <row r="49" s="67" customFormat="1" ht="15">
      <c r="F49" s="128" t="s">
        <v>508</v>
      </c>
    </row>
    <row r="50" s="67" customFormat="1" ht="15">
      <c r="A50" s="67" t="s">
        <v>50</v>
      </c>
    </row>
    <row r="51" spans="3:7" s="67" customFormat="1" ht="15">
      <c r="C51" s="130" t="s">
        <v>51</v>
      </c>
      <c r="E51" s="130"/>
      <c r="F51" s="130"/>
      <c r="G51" s="130"/>
    </row>
    <row r="52" s="67" customFormat="1" ht="15"/>
    <row r="53" s="67" customFormat="1" ht="15"/>
  </sheetData>
  <sheetProtection/>
  <mergeCells count="22">
    <mergeCell ref="A11:I11"/>
    <mergeCell ref="A1:I1"/>
    <mergeCell ref="A2:I2"/>
    <mergeCell ref="A5:I5"/>
    <mergeCell ref="A10:I10"/>
    <mergeCell ref="A3:K3"/>
    <mergeCell ref="A12:I12"/>
    <mergeCell ref="A34:C34"/>
    <mergeCell ref="A39:G39"/>
    <mergeCell ref="F43:G43"/>
    <mergeCell ref="F41:G41"/>
    <mergeCell ref="B41:C41"/>
    <mergeCell ref="F42:G42"/>
    <mergeCell ref="A33:F33"/>
    <mergeCell ref="B44:C44"/>
    <mergeCell ref="F44:G44"/>
    <mergeCell ref="B45:C45"/>
    <mergeCell ref="F45:G45"/>
    <mergeCell ref="F46:G46"/>
    <mergeCell ref="B42:C42"/>
    <mergeCell ref="B43:C43"/>
    <mergeCell ref="B46:C46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2"/>
  <sheetViews>
    <sheetView zoomScalePageLayoutView="0" workbookViewId="0" topLeftCell="A23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8.140625" style="35" customWidth="1"/>
    <col min="3" max="3" width="13.00390625" style="35" customWidth="1"/>
    <col min="4" max="4" width="12.7109375" style="35" customWidth="1"/>
    <col min="5" max="5" width="14.140625" style="35" customWidth="1"/>
    <col min="6" max="6" width="13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6.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7.5" customHeight="1"/>
    <row r="7" spans="1:6" s="67" customFormat="1" ht="16.5" customHeight="1">
      <c r="A7" s="67" t="s">
        <v>2</v>
      </c>
      <c r="F7" s="128" t="s">
        <v>125</v>
      </c>
    </row>
    <row r="8" spans="1:6" s="67" customFormat="1" ht="15">
      <c r="A8" s="67" t="s">
        <v>3</v>
      </c>
      <c r="F8" s="299" t="s">
        <v>262</v>
      </c>
    </row>
    <row r="9" s="67" customFormat="1" ht="6.7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'[1]Чичерина 12 к.1'!$G$36</f>
        <v>17055.13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'[1]Чичерина 12 к.1'!$G$37</f>
        <v>148473.5026</v>
      </c>
      <c r="H15" s="62"/>
      <c r="I15" s="62"/>
    </row>
    <row r="16" s="67" customFormat="1" ht="6.75" customHeight="1"/>
    <row r="17" spans="1:7" s="74" customFormat="1" ht="36.75" customHeight="1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15">
      <c r="A18" s="75" t="s">
        <v>14</v>
      </c>
      <c r="B18" s="41" t="s">
        <v>15</v>
      </c>
      <c r="C18" s="137">
        <f>C19+C20+C21+C22</f>
        <v>10.34</v>
      </c>
      <c r="D18" s="76">
        <v>170611.29</v>
      </c>
      <c r="E18" s="76">
        <v>170681.83</v>
      </c>
      <c r="F18" s="76">
        <f>D18</f>
        <v>170611.29</v>
      </c>
      <c r="G18" s="77">
        <f>D18-E18</f>
        <v>-70.53999999997905</v>
      </c>
      <c r="H18" s="78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57090.43166344295</v>
      </c>
      <c r="E19" s="83">
        <f>E18*I19</f>
        <v>57114.03595744681</v>
      </c>
      <c r="F19" s="83">
        <f>D19</f>
        <v>57090.43166344295</v>
      </c>
      <c r="G19" s="84">
        <f>D19-E19</f>
        <v>-23.60429400386056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27885.210841392647</v>
      </c>
      <c r="E20" s="83">
        <f>E18*I20</f>
        <v>27896.740106382975</v>
      </c>
      <c r="F20" s="83">
        <f>D20</f>
        <v>27885.210841392647</v>
      </c>
      <c r="G20" s="84">
        <f>D20-E20</f>
        <v>-11.529264990327647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35475.268230174086</v>
      </c>
      <c r="E21" s="83">
        <f>E18*I21</f>
        <v>35489.93563829787</v>
      </c>
      <c r="F21" s="83">
        <f>D21</f>
        <v>35475.268230174086</v>
      </c>
      <c r="G21" s="84">
        <f>D21-E21</f>
        <v>-14.667408123787027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50160.37926499033</v>
      </c>
      <c r="E22" s="83">
        <f>E18*I22</f>
        <v>50181.11829787234</v>
      </c>
      <c r="F22" s="83">
        <f>D22</f>
        <v>50160.37926499033</v>
      </c>
      <c r="G22" s="84">
        <f>D22-E22</f>
        <v>-20.739032882003812</v>
      </c>
      <c r="H22" s="78">
        <f>C22</f>
        <v>3.04</v>
      </c>
      <c r="I22" s="67">
        <f>H22/H18</f>
        <v>0.2940038684719536</v>
      </c>
    </row>
    <row r="23" spans="1:7" ht="15">
      <c r="A23" s="41" t="s">
        <v>25</v>
      </c>
      <c r="B23" s="142" t="s">
        <v>176</v>
      </c>
      <c r="C23" s="143">
        <v>0</v>
      </c>
      <c r="D23" s="77">
        <v>0</v>
      </c>
      <c r="E23" s="77">
        <v>0</v>
      </c>
      <c r="F23" s="77">
        <v>0</v>
      </c>
      <c r="G23" s="77">
        <f aca="true" t="shared" si="0" ref="G23:G32">D23-E23</f>
        <v>0</v>
      </c>
    </row>
    <row r="24" spans="1:7" ht="15">
      <c r="A24" s="41" t="s">
        <v>27</v>
      </c>
      <c r="B24" s="142" t="s">
        <v>28</v>
      </c>
      <c r="C24" s="143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2" t="s">
        <v>168</v>
      </c>
      <c r="C25" s="143">
        <v>12.54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7" ht="15">
      <c r="A26" s="41" t="s">
        <v>31</v>
      </c>
      <c r="B26" s="142" t="s">
        <v>119</v>
      </c>
      <c r="C26" s="143">
        <v>2.06</v>
      </c>
      <c r="D26" s="77">
        <v>33959.44</v>
      </c>
      <c r="E26" s="77">
        <v>34021.39</v>
      </c>
      <c r="F26" s="87">
        <f>F43</f>
        <v>11722.1839</v>
      </c>
      <c r="G26" s="77">
        <f t="shared" si="0"/>
        <v>-61.94999999999709</v>
      </c>
    </row>
    <row r="27" spans="1:7" ht="15">
      <c r="A27" s="41" t="s">
        <v>33</v>
      </c>
      <c r="B27" s="136" t="s">
        <v>34</v>
      </c>
      <c r="C27" s="137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7" ht="15">
      <c r="A28" s="41" t="s">
        <v>35</v>
      </c>
      <c r="B28" s="136" t="s">
        <v>36</v>
      </c>
      <c r="C28" s="137"/>
      <c r="D28" s="77">
        <f>SUM(D29:D32)</f>
        <v>842023.8500000001</v>
      </c>
      <c r="E28" s="77">
        <f>SUM(E29:E32)</f>
        <v>839964.64</v>
      </c>
      <c r="F28" s="77">
        <f>SUM(F29:F32)</f>
        <v>842023.8500000001</v>
      </c>
      <c r="G28" s="77">
        <f t="shared" si="0"/>
        <v>2059.210000000079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15547.71</v>
      </c>
      <c r="E29" s="84">
        <v>15570.77</v>
      </c>
      <c r="F29" s="84">
        <f>D29</f>
        <v>15547.71</v>
      </c>
      <c r="G29" s="84">
        <f t="shared" si="0"/>
        <v>-23.06000000000131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119042.26</v>
      </c>
      <c r="E30" s="84">
        <v>117323.09</v>
      </c>
      <c r="F30" s="84">
        <f>D30</f>
        <v>119042.26</v>
      </c>
      <c r="G30" s="84">
        <f t="shared" si="0"/>
        <v>1719.1699999999983</v>
      </c>
    </row>
    <row r="31" spans="1:7" ht="15">
      <c r="A31" s="34" t="s">
        <v>42</v>
      </c>
      <c r="B31" s="34" t="s">
        <v>143</v>
      </c>
      <c r="C31" s="294" t="s">
        <v>381</v>
      </c>
      <c r="D31" s="84">
        <v>200337.3</v>
      </c>
      <c r="E31" s="84">
        <v>194376.14</v>
      </c>
      <c r="F31" s="84">
        <f>D31</f>
        <v>200337.3</v>
      </c>
      <c r="G31" s="84">
        <f t="shared" si="0"/>
        <v>5961.159999999974</v>
      </c>
    </row>
    <row r="32" spans="1:7" ht="15">
      <c r="A32" s="34" t="s">
        <v>41</v>
      </c>
      <c r="B32" s="34" t="s">
        <v>43</v>
      </c>
      <c r="C32" s="293" t="s">
        <v>380</v>
      </c>
      <c r="D32" s="84">
        <v>507096.58</v>
      </c>
      <c r="E32" s="84">
        <v>512694.64</v>
      </c>
      <c r="F32" s="84">
        <f>D32</f>
        <v>507096.58</v>
      </c>
      <c r="G32" s="84">
        <f t="shared" si="0"/>
        <v>-5598.059999999998</v>
      </c>
    </row>
    <row r="33" spans="1:7" ht="15.75" thickBot="1">
      <c r="A33" s="363" t="s">
        <v>378</v>
      </c>
      <c r="B33" s="364"/>
      <c r="C33" s="364"/>
      <c r="D33" s="365"/>
      <c r="E33" s="365"/>
      <c r="F33" s="365"/>
      <c r="G33" s="172"/>
    </row>
    <row r="34" spans="1:10" s="102" customFormat="1" ht="18.75" customHeight="1" thickBot="1">
      <c r="A34" s="378" t="s">
        <v>383</v>
      </c>
      <c r="B34" s="379"/>
      <c r="C34" s="379"/>
      <c r="D34" s="65">
        <v>177149.68</v>
      </c>
      <c r="E34" s="66"/>
      <c r="F34" s="66"/>
      <c r="G34" s="66"/>
      <c r="H34" s="101"/>
      <c r="I34" s="101"/>
      <c r="J34" s="101"/>
    </row>
    <row r="35" spans="1:9" s="67" customFormat="1" ht="13.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17055.13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170772.70870000002</v>
      </c>
      <c r="H37" s="62"/>
      <c r="I37" s="62"/>
    </row>
    <row r="38" spans="2:5" ht="15">
      <c r="B38" s="156"/>
      <c r="C38" s="156"/>
      <c r="D38" s="156"/>
      <c r="E38" s="156"/>
    </row>
    <row r="39" spans="2:5" ht="2.25" customHeight="1">
      <c r="B39" s="156"/>
      <c r="C39" s="156"/>
      <c r="D39" s="156"/>
      <c r="E39" s="156"/>
    </row>
    <row r="40" spans="1:9" ht="24" customHeight="1">
      <c r="A40" s="367" t="s">
        <v>44</v>
      </c>
      <c r="B40" s="367"/>
      <c r="C40" s="367"/>
      <c r="D40" s="367"/>
      <c r="E40" s="367"/>
      <c r="F40" s="367"/>
      <c r="G40" s="367"/>
      <c r="H40" s="367"/>
      <c r="I40" s="367"/>
    </row>
    <row r="41" ht="3" customHeight="1"/>
    <row r="42" spans="1:7" s="173" customFormat="1" ht="28.5" customHeight="1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5"/>
    </row>
    <row r="43" spans="1:7" s="115" customFormat="1" ht="13.5" customHeight="1">
      <c r="A43" s="109" t="s">
        <v>47</v>
      </c>
      <c r="B43" s="396" t="s">
        <v>114</v>
      </c>
      <c r="C43" s="399"/>
      <c r="D43" s="111"/>
      <c r="E43" s="111"/>
      <c r="F43" s="411">
        <f>SUM(F44:L47)</f>
        <v>11722.1839</v>
      </c>
      <c r="G43" s="404"/>
    </row>
    <row r="44" spans="1:7" ht="29.25" customHeight="1">
      <c r="A44" s="34" t="s">
        <v>16</v>
      </c>
      <c r="B44" s="369" t="s">
        <v>567</v>
      </c>
      <c r="C44" s="371"/>
      <c r="D44" s="119" t="s">
        <v>265</v>
      </c>
      <c r="E44" s="119">
        <v>0.02</v>
      </c>
      <c r="F44" s="420">
        <v>3624.72</v>
      </c>
      <c r="G44" s="421"/>
    </row>
    <row r="45" spans="1:7" ht="18" customHeight="1">
      <c r="A45" s="34" t="s">
        <v>18</v>
      </c>
      <c r="B45" s="369" t="s">
        <v>568</v>
      </c>
      <c r="C45" s="371"/>
      <c r="D45" s="119" t="s">
        <v>241</v>
      </c>
      <c r="E45" s="122">
        <v>0.01</v>
      </c>
      <c r="F45" s="420">
        <v>7757.25</v>
      </c>
      <c r="G45" s="421"/>
    </row>
    <row r="46" spans="1:7" ht="15" customHeight="1">
      <c r="A46" s="34" t="s">
        <v>20</v>
      </c>
      <c r="B46" s="369"/>
      <c r="C46" s="415"/>
      <c r="D46" s="119"/>
      <c r="E46" s="154"/>
      <c r="F46" s="398"/>
      <c r="G46" s="398"/>
    </row>
    <row r="47" spans="1:7" s="67" customFormat="1" ht="15">
      <c r="A47" s="34" t="s">
        <v>22</v>
      </c>
      <c r="B47" s="150" t="s">
        <v>198</v>
      </c>
      <c r="C47" s="151"/>
      <c r="D47" s="119"/>
      <c r="E47" s="119"/>
      <c r="F47" s="410">
        <f>E26*1%</f>
        <v>340.2139</v>
      </c>
      <c r="G47" s="410"/>
    </row>
    <row r="48" spans="1:7" ht="15">
      <c r="A48" s="67"/>
      <c r="B48" s="67"/>
      <c r="C48" s="67"/>
      <c r="D48" s="67"/>
      <c r="E48" s="67"/>
      <c r="F48" s="67"/>
      <c r="G48" s="67"/>
    </row>
    <row r="49" spans="1:7" ht="15">
      <c r="A49" s="67" t="s">
        <v>55</v>
      </c>
      <c r="B49" s="67"/>
      <c r="C49" s="67" t="s">
        <v>49</v>
      </c>
      <c r="D49" s="67"/>
      <c r="E49" s="67"/>
      <c r="F49" s="67" t="s">
        <v>93</v>
      </c>
      <c r="G49" s="67"/>
    </row>
    <row r="50" spans="1:7" ht="15">
      <c r="A50" s="67"/>
      <c r="B50" s="67"/>
      <c r="C50" s="67"/>
      <c r="D50" s="67"/>
      <c r="E50" s="67"/>
      <c r="F50" s="128" t="s">
        <v>516</v>
      </c>
      <c r="G50" s="67"/>
    </row>
    <row r="51" spans="1:7" ht="15">
      <c r="A51" s="67" t="s">
        <v>50</v>
      </c>
      <c r="B51" s="67"/>
      <c r="C51" s="67"/>
      <c r="D51" s="67"/>
      <c r="E51" s="67"/>
      <c r="F51" s="67"/>
      <c r="G51" s="67"/>
    </row>
    <row r="52" spans="1:7" ht="15">
      <c r="A52" s="67"/>
      <c r="B52" s="67"/>
      <c r="C52" s="130" t="s">
        <v>51</v>
      </c>
      <c r="D52" s="67"/>
      <c r="E52" s="130"/>
      <c r="F52" s="130"/>
      <c r="G52" s="130"/>
    </row>
  </sheetData>
  <sheetProtection/>
  <mergeCells count="21">
    <mergeCell ref="A40:I40"/>
    <mergeCell ref="B44:C44"/>
    <mergeCell ref="A1:I1"/>
    <mergeCell ref="A2:I2"/>
    <mergeCell ref="A5:I5"/>
    <mergeCell ref="A10:I10"/>
    <mergeCell ref="A3:K3"/>
    <mergeCell ref="B43:C43"/>
    <mergeCell ref="A11:I11"/>
    <mergeCell ref="A33:F33"/>
    <mergeCell ref="A12:I12"/>
    <mergeCell ref="F42:G42"/>
    <mergeCell ref="F47:G47"/>
    <mergeCell ref="A34:C34"/>
    <mergeCell ref="B45:C45"/>
    <mergeCell ref="F45:G45"/>
    <mergeCell ref="F44:G44"/>
    <mergeCell ref="F43:G43"/>
    <mergeCell ref="F46:G46"/>
    <mergeCell ref="B42:C42"/>
    <mergeCell ref="B46:C4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K50"/>
  <sheetViews>
    <sheetView zoomScalePageLayoutView="0" workbookViewId="0" topLeftCell="A23">
      <selection activeCell="G35" sqref="G35"/>
    </sheetView>
  </sheetViews>
  <sheetFormatPr defaultColWidth="9.140625" defaultRowHeight="15" outlineLevelCol="1"/>
  <cols>
    <col min="1" max="1" width="4.7109375" style="35" customWidth="1"/>
    <col min="2" max="2" width="48.7109375" style="35" customWidth="1"/>
    <col min="3" max="3" width="14.28125" style="35" customWidth="1"/>
    <col min="4" max="4" width="13.28125" style="35" customWidth="1"/>
    <col min="5" max="5" width="13.00390625" style="35" customWidth="1"/>
    <col min="6" max="6" width="13.28125" style="35" customWidth="1"/>
    <col min="7" max="7" width="14.00390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9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.7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6.75" customHeight="1"/>
    <row r="7" spans="1:6" s="67" customFormat="1" ht="16.5" customHeight="1">
      <c r="A7" s="67" t="s">
        <v>2</v>
      </c>
      <c r="F7" s="128" t="s">
        <v>126</v>
      </c>
    </row>
    <row r="8" spans="1:6" s="67" customFormat="1" ht="15">
      <c r="A8" s="67" t="s">
        <v>3</v>
      </c>
      <c r="F8" s="299" t="s">
        <v>85</v>
      </c>
    </row>
    <row r="9" s="67" customFormat="1" ht="6.7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'[1]Телевизионная 6 к.1'!$G$36</f>
        <v>2910.05</v>
      </c>
      <c r="H14" s="62"/>
      <c r="I14" s="62"/>
    </row>
    <row r="15" spans="1:7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'[1]Телевизионная 6 к.1'!$G$37</f>
        <v>49592.373</v>
      </c>
    </row>
    <row r="16" s="67" customFormat="1" ht="15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15">
      <c r="A18" s="75" t="s">
        <v>14</v>
      </c>
      <c r="B18" s="41" t="s">
        <v>15</v>
      </c>
      <c r="C18" s="137">
        <f>C19+C20+C21+C22</f>
        <v>9.879999999999999</v>
      </c>
      <c r="D18" s="76">
        <v>105491</v>
      </c>
      <c r="E18" s="76">
        <v>109097.24</v>
      </c>
      <c r="F18" s="76">
        <f aca="true" t="shared" si="0" ref="F18:F25">D18</f>
        <v>105491</v>
      </c>
      <c r="G18" s="77">
        <f>D18-E18</f>
        <v>-3606.2400000000052</v>
      </c>
      <c r="H18" s="14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36943.2044534413</v>
      </c>
      <c r="E19" s="83">
        <f>E18*I19</f>
        <v>38206.11846153847</v>
      </c>
      <c r="F19" s="83">
        <f t="shared" si="0"/>
        <v>36943.2044534413</v>
      </c>
      <c r="G19" s="84">
        <f>D19-E19</f>
        <v>-1262.9140080971702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18044.513157894737</v>
      </c>
      <c r="E20" s="83">
        <f>E18*I20</f>
        <v>18661.370000000003</v>
      </c>
      <c r="F20" s="83">
        <f t="shared" si="0"/>
        <v>18044.513157894737</v>
      </c>
      <c r="G20" s="84">
        <f>D20-E20</f>
        <v>-616.856842105266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18044.513157894737</v>
      </c>
      <c r="E21" s="83">
        <f>E18*I21</f>
        <v>18661.370000000003</v>
      </c>
      <c r="F21" s="83">
        <f t="shared" si="0"/>
        <v>18044.513157894737</v>
      </c>
      <c r="G21" s="84">
        <f>D21-E21</f>
        <v>-616.856842105266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32458.769230769234</v>
      </c>
      <c r="E22" s="83">
        <f>E18*I22</f>
        <v>33568.381538461545</v>
      </c>
      <c r="F22" s="83">
        <f t="shared" si="0"/>
        <v>32458.769230769234</v>
      </c>
      <c r="G22" s="84">
        <f>D22-E22</f>
        <v>-1109.6123076923104</v>
      </c>
      <c r="H22" s="147">
        <f>C22</f>
        <v>3.04</v>
      </c>
      <c r="I22" s="67">
        <f>H22/H18</f>
        <v>0.3076923076923077</v>
      </c>
    </row>
    <row r="23" spans="1:7" ht="15">
      <c r="A23" s="41" t="s">
        <v>25</v>
      </c>
      <c r="B23" s="142" t="s">
        <v>141</v>
      </c>
      <c r="C23" s="46">
        <v>0</v>
      </c>
      <c r="D23" s="77">
        <v>0</v>
      </c>
      <c r="E23" s="77">
        <v>0</v>
      </c>
      <c r="F23" s="77">
        <f t="shared" si="0"/>
        <v>0</v>
      </c>
      <c r="G23" s="77">
        <f aca="true" t="shared" si="1" ref="G23:G32">D23-E23</f>
        <v>0</v>
      </c>
    </row>
    <row r="24" spans="1:7" ht="1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2" t="s">
        <v>168</v>
      </c>
      <c r="C25" s="143">
        <v>0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2" t="s">
        <v>119</v>
      </c>
      <c r="C26" s="97">
        <v>1.86</v>
      </c>
      <c r="D26" s="77">
        <v>19880.88</v>
      </c>
      <c r="E26" s="77">
        <v>20553.25</v>
      </c>
      <c r="F26" s="87">
        <f>F41</f>
        <v>13395.5325</v>
      </c>
      <c r="G26" s="77">
        <f t="shared" si="1"/>
        <v>-672.369999999999</v>
      </c>
    </row>
    <row r="27" spans="1:7" ht="15">
      <c r="A27" s="41" t="s">
        <v>33</v>
      </c>
      <c r="B27" s="136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>
      <c r="A28" s="41" t="s">
        <v>35</v>
      </c>
      <c r="B28" s="136" t="s">
        <v>36</v>
      </c>
      <c r="C28" s="97"/>
      <c r="D28" s="77">
        <f>SUM(D29:D32)</f>
        <v>513408.70999999996</v>
      </c>
      <c r="E28" s="77">
        <f>SUM(E29:E32)</f>
        <v>540638.46</v>
      </c>
      <c r="F28" s="77">
        <f>SUM(F29:F32)</f>
        <v>513408.70999999996</v>
      </c>
      <c r="G28" s="77">
        <f t="shared" si="1"/>
        <v>-27229.75</v>
      </c>
    </row>
    <row r="29" spans="1:7" ht="15">
      <c r="A29" s="34" t="s">
        <v>37</v>
      </c>
      <c r="B29" s="34" t="s">
        <v>172</v>
      </c>
      <c r="C29" s="293" t="s">
        <v>379</v>
      </c>
      <c r="D29" s="212">
        <v>8416.98</v>
      </c>
      <c r="E29" s="212">
        <v>8763.69</v>
      </c>
      <c r="F29" s="212">
        <f>D29</f>
        <v>8416.98</v>
      </c>
      <c r="G29" s="84">
        <f t="shared" si="1"/>
        <v>-346.71000000000095</v>
      </c>
    </row>
    <row r="30" spans="1:7" ht="15">
      <c r="A30" s="34" t="s">
        <v>39</v>
      </c>
      <c r="B30" s="34" t="s">
        <v>142</v>
      </c>
      <c r="C30" s="293" t="s">
        <v>382</v>
      </c>
      <c r="D30" s="212">
        <v>176391.69</v>
      </c>
      <c r="E30" s="212">
        <v>191164.07</v>
      </c>
      <c r="F30" s="212">
        <f>D30</f>
        <v>176391.69</v>
      </c>
      <c r="G30" s="84">
        <f t="shared" si="1"/>
        <v>-14772.380000000005</v>
      </c>
    </row>
    <row r="31" spans="1:7" ht="15">
      <c r="A31" s="34" t="s">
        <v>42</v>
      </c>
      <c r="B31" s="34" t="s">
        <v>40</v>
      </c>
      <c r="C31" s="145">
        <v>0</v>
      </c>
      <c r="D31" s="212">
        <v>0</v>
      </c>
      <c r="E31" s="212">
        <v>0</v>
      </c>
      <c r="F31" s="212">
        <f>D31</f>
        <v>0</v>
      </c>
      <c r="G31" s="84">
        <f t="shared" si="1"/>
        <v>0</v>
      </c>
    </row>
    <row r="32" spans="1:9" ht="15.75" thickBot="1">
      <c r="A32" s="34" t="s">
        <v>41</v>
      </c>
      <c r="B32" s="34" t="s">
        <v>43</v>
      </c>
      <c r="C32" s="293" t="s">
        <v>380</v>
      </c>
      <c r="D32" s="212">
        <v>328600.04</v>
      </c>
      <c r="E32" s="212">
        <v>340710.7</v>
      </c>
      <c r="F32" s="212">
        <f>D32</f>
        <v>328600.04</v>
      </c>
      <c r="G32" s="84">
        <f t="shared" si="1"/>
        <v>-12110.660000000033</v>
      </c>
      <c r="H32" s="101"/>
      <c r="I32" s="101"/>
    </row>
    <row r="33" spans="1:10" s="102" customFormat="1" ht="14.25" thickBot="1">
      <c r="A33" s="378" t="s">
        <v>383</v>
      </c>
      <c r="B33" s="379"/>
      <c r="C33" s="379"/>
      <c r="D33" s="65">
        <v>199601.08</v>
      </c>
      <c r="E33" s="66"/>
      <c r="F33" s="66"/>
      <c r="G33" s="66"/>
      <c r="H33" s="62"/>
      <c r="I33" s="62"/>
      <c r="J33" s="101"/>
    </row>
    <row r="34" spans="1:9" s="67" customFormat="1" ht="10.5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386</v>
      </c>
      <c r="B35" s="64"/>
      <c r="C35" s="64"/>
      <c r="D35" s="69"/>
      <c r="E35" s="70"/>
      <c r="F35" s="70"/>
      <c r="G35" s="146">
        <f>G14+E27-F27</f>
        <v>2910.05</v>
      </c>
      <c r="H35" s="62"/>
      <c r="I35" s="62"/>
    </row>
    <row r="36" spans="1:9" s="67" customFormat="1" ht="15.75" thickBot="1">
      <c r="A36" s="63" t="s">
        <v>387</v>
      </c>
      <c r="B36" s="64"/>
      <c r="C36" s="64"/>
      <c r="D36" s="69"/>
      <c r="E36" s="70"/>
      <c r="F36" s="70"/>
      <c r="G36" s="146">
        <f>G15+E26-F26</f>
        <v>56750.09049999999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s="67" customFormat="1" ht="24" customHeight="1">
      <c r="A38" s="433" t="s">
        <v>44</v>
      </c>
      <c r="B38" s="433"/>
      <c r="C38" s="433"/>
      <c r="D38" s="433"/>
      <c r="E38" s="433"/>
      <c r="F38" s="433"/>
      <c r="G38" s="433"/>
      <c r="H38" s="433"/>
      <c r="I38" s="433"/>
    </row>
    <row r="40" spans="1:9" ht="28.5">
      <c r="A40" s="105" t="s">
        <v>11</v>
      </c>
      <c r="B40" s="394" t="s">
        <v>45</v>
      </c>
      <c r="C40" s="405"/>
      <c r="D40" s="105" t="s">
        <v>170</v>
      </c>
      <c r="E40" s="105" t="s">
        <v>169</v>
      </c>
      <c r="F40" s="394" t="s">
        <v>46</v>
      </c>
      <c r="G40" s="405"/>
      <c r="H40" s="173"/>
      <c r="I40" s="173"/>
    </row>
    <row r="41" spans="1:9" s="173" customFormat="1" ht="15">
      <c r="A41" s="109" t="s">
        <v>47</v>
      </c>
      <c r="B41" s="396" t="s">
        <v>114</v>
      </c>
      <c r="C41" s="399"/>
      <c r="D41" s="111"/>
      <c r="E41" s="111"/>
      <c r="F41" s="411">
        <f>SUM(F42:L44)</f>
        <v>13395.5325</v>
      </c>
      <c r="G41" s="404"/>
      <c r="H41" s="115"/>
      <c r="I41" s="115"/>
    </row>
    <row r="42" spans="1:9" s="67" customFormat="1" ht="15">
      <c r="A42" s="34" t="s">
        <v>16</v>
      </c>
      <c r="B42" s="369" t="s">
        <v>791</v>
      </c>
      <c r="C42" s="371"/>
      <c r="D42" s="119"/>
      <c r="E42" s="119"/>
      <c r="F42" s="410">
        <v>12000</v>
      </c>
      <c r="G42" s="410"/>
      <c r="H42" s="35"/>
      <c r="I42" s="35"/>
    </row>
    <row r="43" spans="1:9" s="67" customFormat="1" ht="15">
      <c r="A43" s="34" t="s">
        <v>18</v>
      </c>
      <c r="B43" s="369" t="s">
        <v>790</v>
      </c>
      <c r="C43" s="371"/>
      <c r="D43" s="119"/>
      <c r="E43" s="119"/>
      <c r="F43" s="410">
        <v>1190</v>
      </c>
      <c r="G43" s="410"/>
      <c r="H43" s="35"/>
      <c r="I43" s="35"/>
    </row>
    <row r="44" spans="1:9" s="67" customFormat="1" ht="15">
      <c r="A44" s="34" t="s">
        <v>20</v>
      </c>
      <c r="B44" s="150" t="s">
        <v>198</v>
      </c>
      <c r="C44" s="151"/>
      <c r="D44" s="119"/>
      <c r="E44" s="119"/>
      <c r="F44" s="410">
        <f>E26*1%</f>
        <v>205.5325</v>
      </c>
      <c r="G44" s="410"/>
      <c r="H44" s="35"/>
      <c r="I44" s="35"/>
    </row>
    <row r="45" s="67" customFormat="1" ht="11.25" customHeight="1"/>
    <row r="46" spans="1:6" s="67" customFormat="1" ht="15">
      <c r="A46" s="67" t="s">
        <v>55</v>
      </c>
      <c r="C46" s="67" t="s">
        <v>49</v>
      </c>
      <c r="F46" s="67" t="s">
        <v>93</v>
      </c>
    </row>
    <row r="47" s="67" customFormat="1" ht="15">
      <c r="F47" s="128" t="s">
        <v>516</v>
      </c>
    </row>
    <row r="48" spans="1:9" ht="15">
      <c r="A48" s="67" t="s">
        <v>50</v>
      </c>
      <c r="B48" s="67"/>
      <c r="C48" s="67"/>
      <c r="D48" s="67"/>
      <c r="E48" s="67"/>
      <c r="F48" s="67"/>
      <c r="G48" s="67"/>
      <c r="H48" s="67"/>
      <c r="I48" s="67"/>
    </row>
    <row r="49" spans="1:9" ht="15">
      <c r="A49" s="67"/>
      <c r="B49" s="67"/>
      <c r="C49" s="130" t="s">
        <v>51</v>
      </c>
      <c r="D49" s="67"/>
      <c r="E49" s="130"/>
      <c r="F49" s="130"/>
      <c r="G49" s="130"/>
      <c r="H49" s="67"/>
      <c r="I49" s="67"/>
    </row>
    <row r="50" spans="1:9" ht="15">
      <c r="A50" s="67"/>
      <c r="B50" s="67"/>
      <c r="C50" s="67"/>
      <c r="D50" s="67"/>
      <c r="E50" s="67"/>
      <c r="F50" s="67"/>
      <c r="G50" s="67"/>
      <c r="H50" s="67"/>
      <c r="I50" s="67"/>
    </row>
  </sheetData>
  <sheetProtection/>
  <mergeCells count="18">
    <mergeCell ref="F44:G44"/>
    <mergeCell ref="B42:C42"/>
    <mergeCell ref="F42:G42"/>
    <mergeCell ref="A33:C33"/>
    <mergeCell ref="A38:I38"/>
    <mergeCell ref="B40:C40"/>
    <mergeCell ref="F40:G40"/>
    <mergeCell ref="B41:C41"/>
    <mergeCell ref="F43:G43"/>
    <mergeCell ref="B43:C43"/>
    <mergeCell ref="A12:I12"/>
    <mergeCell ref="F41:G41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M60"/>
  <sheetViews>
    <sheetView zoomScalePageLayoutView="0" workbookViewId="0" topLeftCell="A22">
      <selection activeCell="G36" sqref="G36"/>
    </sheetView>
  </sheetViews>
  <sheetFormatPr defaultColWidth="9.140625" defaultRowHeight="15" outlineLevelCol="1"/>
  <cols>
    <col min="1" max="1" width="6.140625" style="35" customWidth="1"/>
    <col min="2" max="2" width="48.28125" style="35" customWidth="1"/>
    <col min="3" max="3" width="14.57421875" style="35" customWidth="1"/>
    <col min="4" max="4" width="13.140625" style="35" customWidth="1"/>
    <col min="5" max="5" width="13.00390625" style="35" customWidth="1"/>
    <col min="6" max="6" width="13.140625" style="35" customWidth="1"/>
    <col min="7" max="7" width="13.8515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 customHeight="1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4.2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8.2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3.5" customHeight="1">
      <c r="A5" s="389" t="s">
        <v>1</v>
      </c>
      <c r="B5" s="389"/>
      <c r="C5" s="389"/>
      <c r="D5" s="389"/>
      <c r="E5" s="389"/>
      <c r="F5" s="389"/>
      <c r="G5" s="389"/>
      <c r="H5" s="389"/>
      <c r="I5" s="389"/>
    </row>
    <row r="6" ht="3.75" customHeight="1"/>
    <row r="7" spans="1:6" s="67" customFormat="1" ht="16.5" customHeight="1">
      <c r="A7" s="67" t="s">
        <v>2</v>
      </c>
      <c r="F7" s="128" t="s">
        <v>86</v>
      </c>
    </row>
    <row r="8" spans="1:6" s="67" customFormat="1" ht="15">
      <c r="A8" s="67" t="s">
        <v>3</v>
      </c>
      <c r="F8" s="299" t="s">
        <v>412</v>
      </c>
    </row>
    <row r="9" s="67" customFormat="1" ht="6.7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'[1]Пионерская 2'!$G$36</f>
        <v>5697.05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'[1]Пионерская 2'!$G$37</f>
        <v>-354801.28380000003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15">
      <c r="A18" s="75" t="s">
        <v>14</v>
      </c>
      <c r="B18" s="41" t="s">
        <v>15</v>
      </c>
      <c r="C18" s="137">
        <f>C19+C20+C21+C22</f>
        <v>10.34</v>
      </c>
      <c r="D18" s="76">
        <v>676340.64</v>
      </c>
      <c r="E18" s="76">
        <v>660603.29</v>
      </c>
      <c r="F18" s="76">
        <f>D18</f>
        <v>676340.64</v>
      </c>
      <c r="G18" s="77">
        <f>D18-E18</f>
        <v>15737.349999999977</v>
      </c>
      <c r="H18" s="78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226319.01493230177</v>
      </c>
      <c r="E19" s="83">
        <f>E18*I19</f>
        <v>221052.9384332689</v>
      </c>
      <c r="F19" s="83">
        <f>D19</f>
        <v>226319.01493230177</v>
      </c>
      <c r="G19" s="84">
        <f>D19-E19</f>
        <v>5266.076499032875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110543.10266924564</v>
      </c>
      <c r="E20" s="83">
        <f>E18*I20</f>
        <v>107970.94391682785</v>
      </c>
      <c r="F20" s="83">
        <f>D20</f>
        <v>110543.10266924564</v>
      </c>
      <c r="G20" s="84">
        <f>D20-E20</f>
        <v>2572.1587524177885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140631.75783365572</v>
      </c>
      <c r="E21" s="83">
        <f>E18*I21</f>
        <v>137359.4848646035</v>
      </c>
      <c r="F21" s="83">
        <f>D21</f>
        <v>140631.75783365572</v>
      </c>
      <c r="G21" s="84">
        <f>D21-E21</f>
        <v>3272.2729690522247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198846.7645647969</v>
      </c>
      <c r="E22" s="83">
        <f>E18*I22</f>
        <v>194219.92278529983</v>
      </c>
      <c r="F22" s="83">
        <f>D22</f>
        <v>198846.7645647969</v>
      </c>
      <c r="G22" s="84">
        <f>D22-E22</f>
        <v>4626.841779497074</v>
      </c>
      <c r="H22" s="78">
        <f>C22</f>
        <v>3.04</v>
      </c>
      <c r="I22" s="67">
        <f>H22/H18</f>
        <v>0.2940038684719536</v>
      </c>
    </row>
    <row r="23" spans="1:7" ht="15">
      <c r="A23" s="41" t="s">
        <v>25</v>
      </c>
      <c r="B23" s="142" t="s">
        <v>176</v>
      </c>
      <c r="C23" s="143">
        <v>0</v>
      </c>
      <c r="D23" s="77">
        <v>0</v>
      </c>
      <c r="E23" s="77">
        <v>0</v>
      </c>
      <c r="F23" s="77">
        <v>0</v>
      </c>
      <c r="G23" s="77">
        <f aca="true" t="shared" si="0" ref="G23:G32">D23-E23</f>
        <v>0</v>
      </c>
    </row>
    <row r="24" spans="1:7" ht="15">
      <c r="A24" s="41" t="s">
        <v>27</v>
      </c>
      <c r="B24" s="142" t="s">
        <v>28</v>
      </c>
      <c r="C24" s="143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2" t="s">
        <v>168</v>
      </c>
      <c r="C25" s="143">
        <v>12.54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13" ht="15">
      <c r="A26" s="41" t="s">
        <v>31</v>
      </c>
      <c r="B26" s="142" t="s">
        <v>119</v>
      </c>
      <c r="C26" s="143">
        <v>2.06</v>
      </c>
      <c r="D26" s="77">
        <v>134699.52</v>
      </c>
      <c r="E26" s="77">
        <v>132447.55</v>
      </c>
      <c r="F26" s="87">
        <f>F42</f>
        <v>164968.7255</v>
      </c>
      <c r="G26" s="77">
        <f t="shared" si="0"/>
        <v>2251.970000000001</v>
      </c>
      <c r="M26" s="161"/>
    </row>
    <row r="27" spans="1:7" ht="15">
      <c r="A27" s="41" t="s">
        <v>33</v>
      </c>
      <c r="B27" s="136" t="s">
        <v>34</v>
      </c>
      <c r="C27" s="137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7" ht="15">
      <c r="A28" s="41" t="s">
        <v>35</v>
      </c>
      <c r="B28" s="136" t="s">
        <v>36</v>
      </c>
      <c r="C28" s="137"/>
      <c r="D28" s="77">
        <f>SUM(D29:D32)</f>
        <v>3158393.4800000004</v>
      </c>
      <c r="E28" s="77">
        <f>SUM(E29:E32)</f>
        <v>3087823.8600000003</v>
      </c>
      <c r="F28" s="77">
        <f>SUM(F29:F32)</f>
        <v>3158393.4800000004</v>
      </c>
      <c r="G28" s="77">
        <f t="shared" si="0"/>
        <v>70569.62000000011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66732.44</v>
      </c>
      <c r="E29" s="84">
        <v>39393.38</v>
      </c>
      <c r="F29" s="84">
        <f>D29</f>
        <v>66732.44</v>
      </c>
      <c r="G29" s="84">
        <f t="shared" si="0"/>
        <v>27339.060000000005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424657.77</v>
      </c>
      <c r="E30" s="84">
        <v>427690.49</v>
      </c>
      <c r="F30" s="84">
        <f>D30</f>
        <v>424657.77</v>
      </c>
      <c r="G30" s="84">
        <f t="shared" si="0"/>
        <v>-3032.719999999972</v>
      </c>
    </row>
    <row r="31" spans="1:7" ht="15">
      <c r="A31" s="34" t="s">
        <v>42</v>
      </c>
      <c r="B31" s="34" t="s">
        <v>143</v>
      </c>
      <c r="C31" s="294" t="s">
        <v>381</v>
      </c>
      <c r="D31" s="84">
        <v>655623.68</v>
      </c>
      <c r="E31" s="84">
        <v>640083.18</v>
      </c>
      <c r="F31" s="84">
        <f>D31</f>
        <v>655623.68</v>
      </c>
      <c r="G31" s="84">
        <f t="shared" si="0"/>
        <v>15540.5</v>
      </c>
    </row>
    <row r="32" spans="1:7" ht="15">
      <c r="A32" s="34" t="s">
        <v>41</v>
      </c>
      <c r="B32" s="34" t="s">
        <v>43</v>
      </c>
      <c r="C32" s="293" t="s">
        <v>380</v>
      </c>
      <c r="D32" s="84">
        <v>2011379.59</v>
      </c>
      <c r="E32" s="84">
        <v>1980656.81</v>
      </c>
      <c r="F32" s="84">
        <f>D32</f>
        <v>2011379.59</v>
      </c>
      <c r="G32" s="84">
        <f t="shared" si="0"/>
        <v>30722.780000000028</v>
      </c>
    </row>
    <row r="33" spans="1:7" ht="15.75" thickBot="1">
      <c r="A33" s="363" t="s">
        <v>378</v>
      </c>
      <c r="B33" s="364"/>
      <c r="C33" s="364"/>
      <c r="D33" s="365"/>
      <c r="E33" s="365"/>
      <c r="F33" s="365"/>
      <c r="G33" s="172"/>
    </row>
    <row r="34" spans="1:10" s="102" customFormat="1" ht="14.25" thickBot="1">
      <c r="A34" s="378" t="s">
        <v>383</v>
      </c>
      <c r="B34" s="379"/>
      <c r="C34" s="379"/>
      <c r="D34" s="65">
        <v>2176513.15</v>
      </c>
      <c r="E34" s="66"/>
      <c r="F34" s="66"/>
      <c r="G34" s="66"/>
      <c r="H34" s="101"/>
      <c r="I34" s="101"/>
      <c r="J34" s="101"/>
    </row>
    <row r="35" spans="1:9" s="67" customFormat="1" ht="5.2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5697.05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-387322.45930000005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4.75" customHeight="1">
      <c r="A39" s="433" t="s">
        <v>44</v>
      </c>
      <c r="B39" s="433"/>
      <c r="C39" s="433"/>
      <c r="D39" s="433"/>
      <c r="E39" s="433"/>
      <c r="F39" s="433"/>
      <c r="G39" s="433"/>
      <c r="H39" s="433"/>
      <c r="I39" s="433"/>
    </row>
    <row r="40" ht="3" customHeight="1"/>
    <row r="41" spans="1:7" s="173" customFormat="1" ht="28.5" customHeight="1">
      <c r="A41" s="105" t="s">
        <v>11</v>
      </c>
      <c r="B41" s="394" t="s">
        <v>45</v>
      </c>
      <c r="C41" s="405"/>
      <c r="D41" s="105" t="s">
        <v>170</v>
      </c>
      <c r="E41" s="105" t="s">
        <v>169</v>
      </c>
      <c r="F41" s="394" t="s">
        <v>46</v>
      </c>
      <c r="G41" s="405"/>
    </row>
    <row r="42" spans="1:7" s="115" customFormat="1" ht="13.5" customHeight="1">
      <c r="A42" s="109" t="s">
        <v>47</v>
      </c>
      <c r="B42" s="396" t="s">
        <v>114</v>
      </c>
      <c r="C42" s="399"/>
      <c r="D42" s="111"/>
      <c r="E42" s="111"/>
      <c r="F42" s="411">
        <f>SUM(F43:L55)</f>
        <v>164968.7255</v>
      </c>
      <c r="G42" s="404"/>
    </row>
    <row r="43" spans="1:7" ht="25.5" customHeight="1">
      <c r="A43" s="34" t="s">
        <v>16</v>
      </c>
      <c r="B43" s="369" t="s">
        <v>532</v>
      </c>
      <c r="C43" s="371"/>
      <c r="D43" s="119"/>
      <c r="E43" s="199" t="s">
        <v>258</v>
      </c>
      <c r="F43" s="420">
        <v>16058.16</v>
      </c>
      <c r="G43" s="421"/>
    </row>
    <row r="44" spans="1:7" ht="13.5" customHeight="1">
      <c r="A44" s="34" t="s">
        <v>18</v>
      </c>
      <c r="B44" s="369" t="s">
        <v>570</v>
      </c>
      <c r="C44" s="371"/>
      <c r="D44" s="119" t="s">
        <v>240</v>
      </c>
      <c r="E44" s="199">
        <v>0.03</v>
      </c>
      <c r="F44" s="410">
        <v>5120.35</v>
      </c>
      <c r="G44" s="410"/>
    </row>
    <row r="45" spans="1:7" ht="24.75" customHeight="1">
      <c r="A45" s="34" t="s">
        <v>20</v>
      </c>
      <c r="B45" s="369" t="s">
        <v>518</v>
      </c>
      <c r="C45" s="371"/>
      <c r="D45" s="119" t="s">
        <v>248</v>
      </c>
      <c r="E45" s="199">
        <v>3</v>
      </c>
      <c r="F45" s="420">
        <v>158.01</v>
      </c>
      <c r="G45" s="421"/>
    </row>
    <row r="46" spans="1:7" ht="13.5" customHeight="1">
      <c r="A46" s="34" t="s">
        <v>22</v>
      </c>
      <c r="B46" s="369" t="s">
        <v>571</v>
      </c>
      <c r="C46" s="371"/>
      <c r="D46" s="119" t="s">
        <v>248</v>
      </c>
      <c r="E46" s="199">
        <v>10</v>
      </c>
      <c r="F46" s="420">
        <v>1593.75</v>
      </c>
      <c r="G46" s="421"/>
    </row>
    <row r="47" spans="1:7" ht="13.5" customHeight="1">
      <c r="A47" s="34" t="s">
        <v>24</v>
      </c>
      <c r="B47" s="369" t="s">
        <v>503</v>
      </c>
      <c r="C47" s="371"/>
      <c r="D47" s="119" t="s">
        <v>248</v>
      </c>
      <c r="E47" s="199">
        <v>1</v>
      </c>
      <c r="F47" s="420">
        <v>402.05</v>
      </c>
      <c r="G47" s="421"/>
    </row>
    <row r="48" spans="1:7" ht="13.5" customHeight="1">
      <c r="A48" s="34" t="s">
        <v>106</v>
      </c>
      <c r="B48" s="117" t="s">
        <v>552</v>
      </c>
      <c r="C48" s="118"/>
      <c r="D48" s="119" t="s">
        <v>240</v>
      </c>
      <c r="E48" s="199">
        <v>0.03</v>
      </c>
      <c r="F48" s="420">
        <v>5230.31</v>
      </c>
      <c r="G48" s="421"/>
    </row>
    <row r="49" spans="1:7" ht="13.5" customHeight="1">
      <c r="A49" s="34" t="s">
        <v>107</v>
      </c>
      <c r="B49" s="117" t="s">
        <v>175</v>
      </c>
      <c r="C49" s="118"/>
      <c r="D49" s="119" t="s">
        <v>249</v>
      </c>
      <c r="E49" s="199"/>
      <c r="F49" s="420">
        <v>76945.03</v>
      </c>
      <c r="G49" s="421"/>
    </row>
    <row r="50" spans="1:7" ht="13.5" customHeight="1">
      <c r="A50" s="34" t="s">
        <v>120</v>
      </c>
      <c r="B50" s="369" t="s">
        <v>354</v>
      </c>
      <c r="C50" s="371"/>
      <c r="D50" s="119" t="s">
        <v>240</v>
      </c>
      <c r="E50" s="199">
        <v>0.07</v>
      </c>
      <c r="F50" s="420">
        <v>8414.24</v>
      </c>
      <c r="G50" s="421"/>
    </row>
    <row r="51" spans="1:7" ht="13.5" customHeight="1">
      <c r="A51" s="34" t="s">
        <v>121</v>
      </c>
      <c r="B51" s="369" t="s">
        <v>369</v>
      </c>
      <c r="C51" s="371"/>
      <c r="D51" s="119" t="s">
        <v>174</v>
      </c>
      <c r="E51" s="199">
        <v>2</v>
      </c>
      <c r="F51" s="420">
        <v>1722.35</v>
      </c>
      <c r="G51" s="421"/>
    </row>
    <row r="52" spans="1:7" ht="13.5" customHeight="1">
      <c r="A52" s="34" t="s">
        <v>122</v>
      </c>
      <c r="B52" s="369" t="s">
        <v>792</v>
      </c>
      <c r="C52" s="371"/>
      <c r="D52" s="119"/>
      <c r="E52" s="199"/>
      <c r="F52" s="420">
        <v>12000</v>
      </c>
      <c r="G52" s="421"/>
    </row>
    <row r="53" spans="1:7" ht="13.5" customHeight="1">
      <c r="A53" s="34" t="s">
        <v>144</v>
      </c>
      <c r="B53" s="369" t="s">
        <v>793</v>
      </c>
      <c r="C53" s="371"/>
      <c r="D53" s="119"/>
      <c r="E53" s="199"/>
      <c r="F53" s="420">
        <v>8000</v>
      </c>
      <c r="G53" s="421"/>
    </row>
    <row r="54" spans="1:7" ht="13.5" customHeight="1">
      <c r="A54" s="34" t="s">
        <v>146</v>
      </c>
      <c r="B54" s="369" t="s">
        <v>794</v>
      </c>
      <c r="C54" s="371"/>
      <c r="D54" s="119"/>
      <c r="E54" s="199"/>
      <c r="F54" s="420">
        <v>28000</v>
      </c>
      <c r="G54" s="421"/>
    </row>
    <row r="55" spans="1:9" s="67" customFormat="1" ht="15">
      <c r="A55" s="34" t="s">
        <v>147</v>
      </c>
      <c r="B55" s="150" t="s">
        <v>198</v>
      </c>
      <c r="C55" s="151"/>
      <c r="D55" s="119"/>
      <c r="E55" s="119"/>
      <c r="F55" s="410">
        <f>E26*1%</f>
        <v>1324.4755</v>
      </c>
      <c r="G55" s="410"/>
      <c r="H55" s="35"/>
      <c r="I55" s="35"/>
    </row>
    <row r="56" s="67" customFormat="1" ht="12.75" customHeight="1"/>
    <row r="57" spans="1:6" s="67" customFormat="1" ht="15">
      <c r="A57" s="67" t="s">
        <v>55</v>
      </c>
      <c r="C57" s="67" t="s">
        <v>49</v>
      </c>
      <c r="F57" s="67" t="s">
        <v>93</v>
      </c>
    </row>
    <row r="58" s="67" customFormat="1" ht="15">
      <c r="F58" s="128" t="s">
        <v>516</v>
      </c>
    </row>
    <row r="59" spans="1:9" ht="15">
      <c r="A59" s="67" t="s">
        <v>50</v>
      </c>
      <c r="B59" s="67"/>
      <c r="C59" s="67"/>
      <c r="D59" s="67"/>
      <c r="E59" s="67"/>
      <c r="F59" s="67"/>
      <c r="G59" s="67"/>
      <c r="H59" s="67"/>
      <c r="I59" s="67"/>
    </row>
    <row r="60" spans="1:9" ht="15">
      <c r="A60" s="67"/>
      <c r="B60" s="67"/>
      <c r="C60" s="130" t="s">
        <v>51</v>
      </c>
      <c r="D60" s="67"/>
      <c r="E60" s="130"/>
      <c r="F60" s="130"/>
      <c r="G60" s="130"/>
      <c r="H60" s="67"/>
      <c r="I60" s="67"/>
    </row>
  </sheetData>
  <sheetProtection/>
  <mergeCells count="37">
    <mergeCell ref="B52:C52"/>
    <mergeCell ref="F49:G49"/>
    <mergeCell ref="F55:G55"/>
    <mergeCell ref="B46:C46"/>
    <mergeCell ref="B47:C47"/>
    <mergeCell ref="F46:G46"/>
    <mergeCell ref="F47:G47"/>
    <mergeCell ref="B50:C50"/>
    <mergeCell ref="F50:G50"/>
    <mergeCell ref="B51:C51"/>
    <mergeCell ref="F51:G51"/>
    <mergeCell ref="F48:G48"/>
    <mergeCell ref="A12:I12"/>
    <mergeCell ref="F44:G44"/>
    <mergeCell ref="B42:C42"/>
    <mergeCell ref="B44:C44"/>
    <mergeCell ref="F45:G45"/>
    <mergeCell ref="B43:C43"/>
    <mergeCell ref="F42:G42"/>
    <mergeCell ref="F43:G43"/>
    <mergeCell ref="B45:C45"/>
    <mergeCell ref="B41:C41"/>
    <mergeCell ref="A1:I1"/>
    <mergeCell ref="A2:I2"/>
    <mergeCell ref="A5:I5"/>
    <mergeCell ref="A10:I10"/>
    <mergeCell ref="A3:K3"/>
    <mergeCell ref="B53:C53"/>
    <mergeCell ref="B54:C54"/>
    <mergeCell ref="F52:G52"/>
    <mergeCell ref="F53:G53"/>
    <mergeCell ref="F54:G54"/>
    <mergeCell ref="A11:I11"/>
    <mergeCell ref="A33:F33"/>
    <mergeCell ref="A39:I39"/>
    <mergeCell ref="F41:G41"/>
    <mergeCell ref="A34:C34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M54"/>
  <sheetViews>
    <sheetView zoomScalePageLayoutView="0" workbookViewId="0" topLeftCell="A25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9.28125" style="35" customWidth="1"/>
    <col min="3" max="3" width="13.140625" style="35" customWidth="1"/>
    <col min="4" max="4" width="12.8515625" style="35" customWidth="1"/>
    <col min="5" max="5" width="13.140625" style="35" customWidth="1"/>
    <col min="6" max="6" width="12.8515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1" width="9.140625" style="35" hidden="1" customWidth="1" outlineLevel="1"/>
    <col min="12" max="12" width="0.7187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2.7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4.5" customHeight="1"/>
    <row r="7" spans="1:6" s="67" customFormat="1" ht="16.5" customHeight="1">
      <c r="A7" s="67" t="s">
        <v>2</v>
      </c>
      <c r="F7" s="60" t="s">
        <v>127</v>
      </c>
    </row>
    <row r="8" spans="1:11" s="67" customFormat="1" ht="15">
      <c r="A8" s="67" t="s">
        <v>3</v>
      </c>
      <c r="F8" s="299" t="s">
        <v>259</v>
      </c>
      <c r="I8" s="204">
        <v>248.4</v>
      </c>
      <c r="J8" s="204">
        <v>4696.7</v>
      </c>
      <c r="K8" s="204">
        <f>I8+J8</f>
        <v>4945.099999999999</v>
      </c>
    </row>
    <row r="9" s="67" customFormat="1" ht="5.2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'[1]Телевизионная 2 к.1'!$G$36</f>
        <v>30130.77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'[1]Телевизионная 2 к.1'!$G$37</f>
        <v>-20143.779600000023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15">
      <c r="A18" s="75" t="s">
        <v>14</v>
      </c>
      <c r="B18" s="41" t="s">
        <v>15</v>
      </c>
      <c r="C18" s="137">
        <f>C19+C20+C21+C22</f>
        <v>10.18</v>
      </c>
      <c r="D18" s="76">
        <v>507769.91</v>
      </c>
      <c r="E18" s="76">
        <v>577480.42</v>
      </c>
      <c r="F18" s="76">
        <f aca="true" t="shared" si="0" ref="F18:F25">D18</f>
        <v>507769.91</v>
      </c>
      <c r="G18" s="77">
        <f>D18-E18</f>
        <v>-69710.51000000007</v>
      </c>
      <c r="H18" s="78">
        <f>C18</f>
        <v>10.18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172581.91440078584</v>
      </c>
      <c r="E19" s="83">
        <f>E18*I19</f>
        <v>196275.27045186644</v>
      </c>
      <c r="F19" s="83">
        <f t="shared" si="0"/>
        <v>172581.91440078584</v>
      </c>
      <c r="G19" s="84">
        <f>D19-E19</f>
        <v>-23693.3560510806</v>
      </c>
      <c r="H19" s="78">
        <f>C19</f>
        <v>3.46</v>
      </c>
      <c r="I19" s="67">
        <f>H19/H18</f>
        <v>0.33988212180746563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84295.79055992141</v>
      </c>
      <c r="E20" s="83">
        <f>E18*I20</f>
        <v>95868.55695481336</v>
      </c>
      <c r="F20" s="83">
        <f t="shared" si="0"/>
        <v>84295.79055992141</v>
      </c>
      <c r="G20" s="84">
        <f>D20-E20</f>
        <v>-11572.76639489195</v>
      </c>
      <c r="H20" s="78">
        <f>C20</f>
        <v>1.69</v>
      </c>
      <c r="I20" s="67">
        <f>H20/H18</f>
        <v>0.16601178781925344</v>
      </c>
    </row>
    <row r="21" spans="1:9" s="67" customFormat="1" ht="15">
      <c r="A21" s="81" t="s">
        <v>20</v>
      </c>
      <c r="B21" s="34" t="s">
        <v>21</v>
      </c>
      <c r="C21" s="99">
        <v>1.99</v>
      </c>
      <c r="D21" s="83">
        <f>D18*I21</f>
        <v>99259.54036345775</v>
      </c>
      <c r="E21" s="83">
        <f>E18*I21</f>
        <v>112886.64398821219</v>
      </c>
      <c r="F21" s="83">
        <f t="shared" si="0"/>
        <v>99259.54036345775</v>
      </c>
      <c r="G21" s="84">
        <f>D21-E21</f>
        <v>-13627.10362475444</v>
      </c>
      <c r="H21" s="78">
        <f>C21</f>
        <v>1.99</v>
      </c>
      <c r="I21" s="67">
        <f>H21/H18</f>
        <v>0.19548133595284872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151632.66467583497</v>
      </c>
      <c r="E22" s="83">
        <f>E18*I22</f>
        <v>172449.94860510807</v>
      </c>
      <c r="F22" s="83">
        <f t="shared" si="0"/>
        <v>151632.66467583497</v>
      </c>
      <c r="G22" s="84">
        <f>D22-E22</f>
        <v>-20817.283929273108</v>
      </c>
      <c r="H22" s="78">
        <f>C22</f>
        <v>3.04</v>
      </c>
      <c r="I22" s="67">
        <f>H22/H18</f>
        <v>0.29862475442043224</v>
      </c>
    </row>
    <row r="23" spans="1:7" ht="15">
      <c r="A23" s="41" t="s">
        <v>25</v>
      </c>
      <c r="B23" s="142" t="s">
        <v>176</v>
      </c>
      <c r="C23" s="143">
        <v>3.86</v>
      </c>
      <c r="D23" s="77">
        <v>149007.59</v>
      </c>
      <c r="E23" s="77">
        <v>176574.9</v>
      </c>
      <c r="F23" s="77">
        <f t="shared" si="0"/>
        <v>149007.59</v>
      </c>
      <c r="G23" s="77">
        <f aca="true" t="shared" si="1" ref="G23:G32">D23-E23</f>
        <v>-27567.309999999998</v>
      </c>
    </row>
    <row r="24" spans="1:7" ht="15">
      <c r="A24" s="41" t="s">
        <v>27</v>
      </c>
      <c r="B24" s="142" t="s">
        <v>28</v>
      </c>
      <c r="C24" s="143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2" t="s">
        <v>168</v>
      </c>
      <c r="C25" s="143">
        <v>12.54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13" ht="15">
      <c r="A26" s="41" t="s">
        <v>31</v>
      </c>
      <c r="B26" s="142" t="s">
        <v>119</v>
      </c>
      <c r="C26" s="143">
        <v>2.06</v>
      </c>
      <c r="D26" s="77">
        <v>102096.45</v>
      </c>
      <c r="E26" s="77">
        <v>116503.42</v>
      </c>
      <c r="F26" s="87">
        <f>F42</f>
        <v>40089.7042</v>
      </c>
      <c r="G26" s="77">
        <f t="shared" si="1"/>
        <v>-14406.970000000001</v>
      </c>
      <c r="M26" s="161"/>
    </row>
    <row r="27" spans="1:7" ht="15">
      <c r="A27" s="41" t="s">
        <v>33</v>
      </c>
      <c r="B27" s="136" t="s">
        <v>34</v>
      </c>
      <c r="C27" s="137">
        <v>0</v>
      </c>
      <c r="D27" s="77">
        <v>0</v>
      </c>
      <c r="E27" s="77">
        <v>474.93</v>
      </c>
      <c r="F27" s="87">
        <v>0</v>
      </c>
      <c r="G27" s="77">
        <f t="shared" si="1"/>
        <v>-474.93</v>
      </c>
    </row>
    <row r="28" spans="1:7" ht="15">
      <c r="A28" s="41" t="s">
        <v>35</v>
      </c>
      <c r="B28" s="136" t="s">
        <v>36</v>
      </c>
      <c r="C28" s="137"/>
      <c r="D28" s="77">
        <f>SUM(D29:D32)</f>
        <v>3168697.87</v>
      </c>
      <c r="E28" s="77">
        <f>SUM(E29:E32)</f>
        <v>3210948.02</v>
      </c>
      <c r="F28" s="77">
        <f>SUM(F29:F32)</f>
        <v>3168697.87</v>
      </c>
      <c r="G28" s="77">
        <f t="shared" si="1"/>
        <v>-42250.14999999991</v>
      </c>
    </row>
    <row r="29" spans="1:7" ht="15">
      <c r="A29" s="34" t="s">
        <v>37</v>
      </c>
      <c r="B29" s="34" t="s">
        <v>172</v>
      </c>
      <c r="C29" s="293" t="s">
        <v>413</v>
      </c>
      <c r="D29" s="84">
        <v>109619.82</v>
      </c>
      <c r="E29" s="84">
        <v>104672.59</v>
      </c>
      <c r="F29" s="84">
        <f>D29</f>
        <v>109619.82</v>
      </c>
      <c r="G29" s="84">
        <f t="shared" si="1"/>
        <v>4947.2300000000105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534836.12</v>
      </c>
      <c r="E30" s="84">
        <v>553142.79</v>
      </c>
      <c r="F30" s="84">
        <f>D30</f>
        <v>534836.12</v>
      </c>
      <c r="G30" s="84">
        <f t="shared" si="1"/>
        <v>-18306.670000000042</v>
      </c>
    </row>
    <row r="31" spans="1:7" ht="15">
      <c r="A31" s="34" t="s">
        <v>42</v>
      </c>
      <c r="B31" s="34" t="s">
        <v>143</v>
      </c>
      <c r="C31" s="294" t="s">
        <v>381</v>
      </c>
      <c r="D31" s="84">
        <v>810186.12</v>
      </c>
      <c r="E31" s="84">
        <v>832421.33</v>
      </c>
      <c r="F31" s="84">
        <f>D31</f>
        <v>810186.12</v>
      </c>
      <c r="G31" s="84">
        <f t="shared" si="1"/>
        <v>-22235.209999999963</v>
      </c>
    </row>
    <row r="32" spans="1:7" ht="15">
      <c r="A32" s="34" t="s">
        <v>41</v>
      </c>
      <c r="B32" s="34" t="s">
        <v>43</v>
      </c>
      <c r="C32" s="293" t="s">
        <v>380</v>
      </c>
      <c r="D32" s="84">
        <v>1714055.81</v>
      </c>
      <c r="E32" s="84">
        <v>1720711.31</v>
      </c>
      <c r="F32" s="84">
        <f>D32</f>
        <v>1714055.81</v>
      </c>
      <c r="G32" s="84">
        <f t="shared" si="1"/>
        <v>-6655.5</v>
      </c>
    </row>
    <row r="33" spans="1:7" ht="15.75" thickBot="1">
      <c r="A33" s="363" t="s">
        <v>378</v>
      </c>
      <c r="B33" s="364"/>
      <c r="C33" s="364"/>
      <c r="D33" s="365"/>
      <c r="E33" s="365"/>
      <c r="F33" s="365"/>
      <c r="G33" s="172"/>
    </row>
    <row r="34" spans="1:10" s="102" customFormat="1" ht="14.25" thickBot="1">
      <c r="A34" s="378" t="s">
        <v>383</v>
      </c>
      <c r="B34" s="379"/>
      <c r="C34" s="379"/>
      <c r="D34" s="65">
        <v>2161655.26</v>
      </c>
      <c r="E34" s="66"/>
      <c r="F34" s="66"/>
      <c r="G34" s="66"/>
      <c r="H34" s="101"/>
      <c r="I34" s="101"/>
      <c r="J34" s="101"/>
    </row>
    <row r="35" spans="1:9" s="67" customFormat="1" ht="15.75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30605.7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56269.936199999975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24.75" customHeight="1">
      <c r="A39" s="433" t="s">
        <v>44</v>
      </c>
      <c r="B39" s="433"/>
      <c r="C39" s="433"/>
      <c r="D39" s="433"/>
      <c r="E39" s="433"/>
      <c r="F39" s="433"/>
      <c r="G39" s="433"/>
      <c r="H39" s="433"/>
      <c r="I39" s="433"/>
    </row>
    <row r="41" spans="1:9" ht="28.5">
      <c r="A41" s="105" t="s">
        <v>11</v>
      </c>
      <c r="B41" s="394" t="s">
        <v>45</v>
      </c>
      <c r="C41" s="405"/>
      <c r="D41" s="105" t="s">
        <v>170</v>
      </c>
      <c r="E41" s="105" t="s">
        <v>169</v>
      </c>
      <c r="F41" s="394" t="s">
        <v>46</v>
      </c>
      <c r="G41" s="405"/>
      <c r="H41" s="173"/>
      <c r="I41" s="173"/>
    </row>
    <row r="42" spans="1:9" s="173" customFormat="1" ht="15">
      <c r="A42" s="109" t="s">
        <v>47</v>
      </c>
      <c r="B42" s="396" t="s">
        <v>114</v>
      </c>
      <c r="C42" s="399"/>
      <c r="D42" s="111"/>
      <c r="E42" s="111"/>
      <c r="F42" s="411">
        <f>SUM(F43:G49)</f>
        <v>40089.7042</v>
      </c>
      <c r="G42" s="404"/>
      <c r="H42" s="115"/>
      <c r="I42" s="115"/>
    </row>
    <row r="43" spans="1:9" s="173" customFormat="1" ht="15">
      <c r="A43" s="206" t="s">
        <v>16</v>
      </c>
      <c r="B43" s="383" t="s">
        <v>572</v>
      </c>
      <c r="C43" s="400"/>
      <c r="D43" s="207" t="s">
        <v>240</v>
      </c>
      <c r="E43" s="213">
        <v>0.06</v>
      </c>
      <c r="F43" s="446">
        <v>6134.25</v>
      </c>
      <c r="G43" s="447"/>
      <c r="H43" s="115"/>
      <c r="I43" s="115"/>
    </row>
    <row r="44" spans="1:9" s="173" customFormat="1" ht="15">
      <c r="A44" s="206" t="s">
        <v>18</v>
      </c>
      <c r="B44" s="383" t="s">
        <v>573</v>
      </c>
      <c r="C44" s="400"/>
      <c r="D44" s="207" t="s">
        <v>240</v>
      </c>
      <c r="E44" s="213">
        <v>0.06</v>
      </c>
      <c r="F44" s="446">
        <v>5046.42</v>
      </c>
      <c r="G44" s="447"/>
      <c r="H44" s="115"/>
      <c r="I44" s="115"/>
    </row>
    <row r="45" spans="1:9" s="173" customFormat="1" ht="15">
      <c r="A45" s="206" t="s">
        <v>20</v>
      </c>
      <c r="B45" s="383" t="s">
        <v>503</v>
      </c>
      <c r="C45" s="400"/>
      <c r="D45" s="207" t="s">
        <v>248</v>
      </c>
      <c r="E45" s="213">
        <v>5</v>
      </c>
      <c r="F45" s="446">
        <v>2466.7</v>
      </c>
      <c r="G45" s="447"/>
      <c r="H45" s="115"/>
      <c r="I45" s="115"/>
    </row>
    <row r="46" spans="1:9" s="173" customFormat="1" ht="15">
      <c r="A46" s="206" t="s">
        <v>22</v>
      </c>
      <c r="B46" s="383" t="s">
        <v>574</v>
      </c>
      <c r="C46" s="400"/>
      <c r="D46" s="207" t="s">
        <v>240</v>
      </c>
      <c r="E46" s="213">
        <v>0.06</v>
      </c>
      <c r="F46" s="446">
        <v>2484.21</v>
      </c>
      <c r="G46" s="447"/>
      <c r="H46" s="115"/>
      <c r="I46" s="115"/>
    </row>
    <row r="47" spans="1:9" s="173" customFormat="1" ht="15">
      <c r="A47" s="206" t="s">
        <v>24</v>
      </c>
      <c r="B47" s="383" t="s">
        <v>575</v>
      </c>
      <c r="C47" s="400"/>
      <c r="D47" s="207" t="s">
        <v>240</v>
      </c>
      <c r="E47" s="213">
        <v>0.13</v>
      </c>
      <c r="F47" s="446">
        <v>19603.09</v>
      </c>
      <c r="G47" s="447"/>
      <c r="H47" s="115"/>
      <c r="I47" s="115"/>
    </row>
    <row r="48" spans="1:9" s="173" customFormat="1" ht="15">
      <c r="A48" s="206" t="s">
        <v>106</v>
      </c>
      <c r="B48" s="383" t="s">
        <v>790</v>
      </c>
      <c r="C48" s="400"/>
      <c r="D48" s="207"/>
      <c r="E48" s="213"/>
      <c r="F48" s="446">
        <v>3190</v>
      </c>
      <c r="G48" s="447"/>
      <c r="H48" s="115"/>
      <c r="I48" s="115"/>
    </row>
    <row r="49" spans="1:7" ht="15">
      <c r="A49" s="141" t="s">
        <v>107</v>
      </c>
      <c r="B49" s="150" t="s">
        <v>198</v>
      </c>
      <c r="C49" s="151"/>
      <c r="D49" s="119"/>
      <c r="E49" s="119"/>
      <c r="F49" s="443">
        <f>E26*1%</f>
        <v>1165.0342</v>
      </c>
      <c r="G49" s="443"/>
    </row>
    <row r="50" s="67" customFormat="1" ht="15"/>
    <row r="51" spans="1:6" s="67" customFormat="1" ht="13.5" customHeight="1">
      <c r="A51" s="67" t="s">
        <v>55</v>
      </c>
      <c r="C51" s="67" t="s">
        <v>49</v>
      </c>
      <c r="F51" s="67" t="s">
        <v>93</v>
      </c>
    </row>
    <row r="52" s="67" customFormat="1" ht="13.5" customHeight="1">
      <c r="F52" s="128" t="s">
        <v>516</v>
      </c>
    </row>
    <row r="53" s="67" customFormat="1" ht="11.25" customHeight="1">
      <c r="A53" s="67" t="s">
        <v>50</v>
      </c>
    </row>
    <row r="54" spans="3:7" s="67" customFormat="1" ht="15">
      <c r="C54" s="130" t="s">
        <v>51</v>
      </c>
      <c r="E54" s="130"/>
      <c r="F54" s="130"/>
      <c r="G54" s="130"/>
    </row>
    <row r="55" s="67" customFormat="1" ht="15"/>
  </sheetData>
  <sheetProtection/>
  <mergeCells count="27">
    <mergeCell ref="B48:C48"/>
    <mergeCell ref="F48:G48"/>
    <mergeCell ref="B45:C45"/>
    <mergeCell ref="F45:G45"/>
    <mergeCell ref="B46:C46"/>
    <mergeCell ref="F46:G46"/>
    <mergeCell ref="B47:C47"/>
    <mergeCell ref="F47:G47"/>
    <mergeCell ref="F43:G43"/>
    <mergeCell ref="A39:I39"/>
    <mergeCell ref="F42:G42"/>
    <mergeCell ref="A11:I11"/>
    <mergeCell ref="A12:I12"/>
    <mergeCell ref="B41:C41"/>
    <mergeCell ref="F41:G41"/>
    <mergeCell ref="B42:C42"/>
    <mergeCell ref="A33:F33"/>
    <mergeCell ref="F44:G44"/>
    <mergeCell ref="B43:C43"/>
    <mergeCell ref="B44:C44"/>
    <mergeCell ref="F49:G49"/>
    <mergeCell ref="A1:I1"/>
    <mergeCell ref="A2:I2"/>
    <mergeCell ref="A5:I5"/>
    <mergeCell ref="A10:I10"/>
    <mergeCell ref="A3:K3"/>
    <mergeCell ref="A34:C34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P52"/>
  <sheetViews>
    <sheetView zoomScalePageLayoutView="0" workbookViewId="0" topLeftCell="A34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8.421875" style="35" customWidth="1"/>
    <col min="3" max="3" width="13.140625" style="35" customWidth="1"/>
    <col min="4" max="4" width="13.7109375" style="35" customWidth="1"/>
    <col min="5" max="5" width="12.7109375" style="35" customWidth="1"/>
    <col min="6" max="6" width="11.8515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4.2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5.2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7.2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4.5" customHeight="1"/>
    <row r="7" spans="1:6" s="67" customFormat="1" ht="16.5" customHeight="1">
      <c r="A7" s="67" t="s">
        <v>2</v>
      </c>
      <c r="F7" s="128" t="s">
        <v>87</v>
      </c>
    </row>
    <row r="8" spans="1:10" s="67" customFormat="1" ht="15">
      <c r="A8" s="67" t="s">
        <v>3</v>
      </c>
      <c r="F8" s="299" t="s">
        <v>495</v>
      </c>
      <c r="I8" s="317">
        <v>42.8</v>
      </c>
      <c r="J8" s="317">
        <v>1554.9</v>
      </c>
    </row>
    <row r="9" s="67" customFormat="1" ht="4.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'[1]Чичерина 16'!$G$36</f>
        <v>-7051.42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'[1]Чичерина 16'!$G$37</f>
        <v>-22165.243500000008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16" s="67" customFormat="1" ht="16.5" customHeight="1">
      <c r="A18" s="75" t="s">
        <v>14</v>
      </c>
      <c r="B18" s="41" t="s">
        <v>15</v>
      </c>
      <c r="C18" s="137">
        <f>C19+C20+C21+C22</f>
        <v>9.879999999999999</v>
      </c>
      <c r="D18" s="76">
        <v>182462.38</v>
      </c>
      <c r="E18" s="76">
        <v>191850.09</v>
      </c>
      <c r="F18" s="76">
        <f aca="true" t="shared" si="0" ref="F18:F25">D18</f>
        <v>182462.38</v>
      </c>
      <c r="G18" s="77">
        <f>D18-E18</f>
        <v>-9387.709999999992</v>
      </c>
      <c r="H18" s="147">
        <f>C18</f>
        <v>9.879999999999999</v>
      </c>
      <c r="P18" s="214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63898.76870445345</v>
      </c>
      <c r="E19" s="83">
        <f>E18*I19</f>
        <v>67186.36755060729</v>
      </c>
      <c r="F19" s="83">
        <f t="shared" si="0"/>
        <v>63898.76870445345</v>
      </c>
      <c r="G19" s="84">
        <f>D19-E19</f>
        <v>-3287.5988461538436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31210.670263157896</v>
      </c>
      <c r="E20" s="83">
        <f>E18*I20</f>
        <v>32816.46276315789</v>
      </c>
      <c r="F20" s="83">
        <f t="shared" si="0"/>
        <v>31210.670263157896</v>
      </c>
      <c r="G20" s="84">
        <f>D20-E20</f>
        <v>-1605.792499999996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31210.670263157896</v>
      </c>
      <c r="E21" s="83">
        <f>E18*I21</f>
        <v>32816.46276315789</v>
      </c>
      <c r="F21" s="83">
        <f t="shared" si="0"/>
        <v>31210.670263157896</v>
      </c>
      <c r="G21" s="84">
        <f>D21-E21</f>
        <v>-1605.792499999996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56142.270769230774</v>
      </c>
      <c r="E22" s="83">
        <f>E18*I22</f>
        <v>59030.79692307692</v>
      </c>
      <c r="F22" s="83">
        <f t="shared" si="0"/>
        <v>56142.270769230774</v>
      </c>
      <c r="G22" s="84">
        <f>D22-E22</f>
        <v>-2888.526153846149</v>
      </c>
      <c r="H22" s="147">
        <f>C22</f>
        <v>3.04</v>
      </c>
      <c r="I22" s="67">
        <f>H22/H18</f>
        <v>0.3076923076923077</v>
      </c>
    </row>
    <row r="23" spans="1:7" ht="26.25">
      <c r="A23" s="41" t="s">
        <v>25</v>
      </c>
      <c r="B23" s="195" t="s">
        <v>263</v>
      </c>
      <c r="C23" s="53" t="s">
        <v>264</v>
      </c>
      <c r="D23" s="77">
        <v>36720</v>
      </c>
      <c r="E23" s="77">
        <v>37601.25</v>
      </c>
      <c r="F23" s="77">
        <f t="shared" si="0"/>
        <v>36720</v>
      </c>
      <c r="G23" s="77">
        <f aca="true" t="shared" si="1" ref="G23:G32">D23-E23</f>
        <v>-881.25</v>
      </c>
    </row>
    <row r="24" spans="1:7" ht="1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2" t="s">
        <v>168</v>
      </c>
      <c r="C25" s="143">
        <v>12.54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2" t="s">
        <v>119</v>
      </c>
      <c r="C26" s="97">
        <v>1.86</v>
      </c>
      <c r="D26" s="77">
        <v>34339.34</v>
      </c>
      <c r="E26" s="77">
        <v>36169.65</v>
      </c>
      <c r="F26" s="87">
        <f>F44</f>
        <v>10361.6965</v>
      </c>
      <c r="G26" s="77">
        <f t="shared" si="1"/>
        <v>-1830.310000000005</v>
      </c>
    </row>
    <row r="27" spans="1:7" ht="15">
      <c r="A27" s="41" t="s">
        <v>33</v>
      </c>
      <c r="B27" s="136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>
      <c r="A28" s="41" t="s">
        <v>35</v>
      </c>
      <c r="B28" s="136" t="s">
        <v>36</v>
      </c>
      <c r="C28" s="97"/>
      <c r="D28" s="77">
        <f>SUM(D29:D32)</f>
        <v>770431.0800000001</v>
      </c>
      <c r="E28" s="77">
        <f>SUM(E29:E32)</f>
        <v>823074.86</v>
      </c>
      <c r="F28" s="77">
        <f>SUM(F29:F32)</f>
        <v>770431.0800000001</v>
      </c>
      <c r="G28" s="77">
        <f t="shared" si="1"/>
        <v>-52643.77999999991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4406.88</v>
      </c>
      <c r="E29" s="84">
        <v>4636.15</v>
      </c>
      <c r="F29" s="84">
        <f>D29</f>
        <v>4406.88</v>
      </c>
      <c r="G29" s="84">
        <f t="shared" si="1"/>
        <v>-229.26999999999953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198410.53</v>
      </c>
      <c r="E30" s="84">
        <v>218195.58</v>
      </c>
      <c r="F30" s="84">
        <f>D30</f>
        <v>198410.53</v>
      </c>
      <c r="G30" s="84">
        <f t="shared" si="1"/>
        <v>-19785.04999999999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">
      <c r="A32" s="34" t="s">
        <v>41</v>
      </c>
      <c r="B32" s="34" t="s">
        <v>43</v>
      </c>
      <c r="C32" s="293" t="s">
        <v>380</v>
      </c>
      <c r="D32" s="84">
        <v>567613.67</v>
      </c>
      <c r="E32" s="84">
        <v>600243.13</v>
      </c>
      <c r="F32" s="84">
        <f>D32</f>
        <v>567613.67</v>
      </c>
      <c r="G32" s="84">
        <f t="shared" si="1"/>
        <v>-32629.459999999963</v>
      </c>
      <c r="H32" s="101"/>
      <c r="I32" s="101"/>
    </row>
    <row r="33" spans="1:9" ht="15.75" thickBot="1">
      <c r="A33" s="363" t="s">
        <v>378</v>
      </c>
      <c r="B33" s="364"/>
      <c r="C33" s="364"/>
      <c r="D33" s="365"/>
      <c r="E33" s="365"/>
      <c r="F33" s="365"/>
      <c r="G33" s="172"/>
      <c r="H33" s="101"/>
      <c r="I33" s="101"/>
    </row>
    <row r="34" spans="1:10" s="102" customFormat="1" ht="14.25" thickBot="1">
      <c r="A34" s="378" t="s">
        <v>383</v>
      </c>
      <c r="B34" s="379"/>
      <c r="C34" s="379"/>
      <c r="D34" s="65">
        <v>172177.66</v>
      </c>
      <c r="E34" s="66"/>
      <c r="F34" s="66"/>
      <c r="G34" s="66"/>
      <c r="H34" s="62"/>
      <c r="I34" s="62"/>
      <c r="J34" s="101"/>
    </row>
    <row r="35" spans="1:9" s="67" customFormat="1" ht="8.2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-7051.42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3642.7099999999937</v>
      </c>
      <c r="H37" s="62"/>
      <c r="I37" s="62"/>
    </row>
    <row r="38" spans="1:9" s="67" customFormat="1" ht="15">
      <c r="A38" s="427" t="s">
        <v>489</v>
      </c>
      <c r="B38" s="428"/>
      <c r="C38" s="104"/>
      <c r="D38" s="104"/>
      <c r="E38" s="101"/>
      <c r="F38" s="101"/>
      <c r="G38" s="101"/>
      <c r="H38" s="62"/>
      <c r="I38" s="62"/>
    </row>
    <row r="39" spans="1:9" s="67" customFormat="1" ht="15">
      <c r="A39" s="449" t="s">
        <v>150</v>
      </c>
      <c r="B39" s="450"/>
      <c r="C39" s="44" t="s">
        <v>151</v>
      </c>
      <c r="D39" s="44" t="s">
        <v>152</v>
      </c>
      <c r="E39" s="45" t="s">
        <v>153</v>
      </c>
      <c r="F39" s="42" t="s">
        <v>154</v>
      </c>
      <c r="G39" s="45" t="s">
        <v>155</v>
      </c>
      <c r="H39" s="62"/>
      <c r="I39" s="330"/>
    </row>
    <row r="40" spans="1:9" s="67" customFormat="1" ht="15">
      <c r="A40" s="451"/>
      <c r="B40" s="452"/>
      <c r="C40" s="227">
        <v>42.8</v>
      </c>
      <c r="D40" s="155">
        <f>E40/C40/12</f>
        <v>11.586604361370718</v>
      </c>
      <c r="E40" s="241">
        <v>5950.88</v>
      </c>
      <c r="F40" s="241">
        <v>6257.1</v>
      </c>
      <c r="G40" s="155">
        <f>E40-F40</f>
        <v>-306.22000000000025</v>
      </c>
      <c r="H40" s="62"/>
      <c r="I40" s="307">
        <v>42.8</v>
      </c>
    </row>
    <row r="41" spans="1:9" s="67" customFormat="1" ht="31.5" customHeight="1">
      <c r="A41" s="433" t="s">
        <v>44</v>
      </c>
      <c r="B41" s="433"/>
      <c r="C41" s="433"/>
      <c r="D41" s="433"/>
      <c r="E41" s="433"/>
      <c r="F41" s="433"/>
      <c r="G41" s="433"/>
      <c r="H41" s="433"/>
      <c r="I41" s="433"/>
    </row>
    <row r="43" spans="1:9" ht="28.5">
      <c r="A43" s="105" t="s">
        <v>11</v>
      </c>
      <c r="B43" s="394" t="s">
        <v>45</v>
      </c>
      <c r="C43" s="405"/>
      <c r="D43" s="105" t="s">
        <v>170</v>
      </c>
      <c r="E43" s="105" t="s">
        <v>169</v>
      </c>
      <c r="F43" s="394" t="s">
        <v>46</v>
      </c>
      <c r="G43" s="405"/>
      <c r="H43" s="173"/>
      <c r="I43" s="173"/>
    </row>
    <row r="44" spans="1:9" s="173" customFormat="1" ht="28.5" customHeight="1">
      <c r="A44" s="109" t="s">
        <v>47</v>
      </c>
      <c r="B44" s="396" t="s">
        <v>114</v>
      </c>
      <c r="C44" s="399"/>
      <c r="D44" s="111"/>
      <c r="E44" s="111"/>
      <c r="F44" s="411">
        <f>SUM(F45:G46)</f>
        <v>10361.6965</v>
      </c>
      <c r="G44" s="404"/>
      <c r="H44" s="115"/>
      <c r="I44" s="115"/>
    </row>
    <row r="45" spans="1:9" s="173" customFormat="1" ht="15">
      <c r="A45" s="141" t="s">
        <v>16</v>
      </c>
      <c r="B45" s="150" t="s">
        <v>840</v>
      </c>
      <c r="C45" s="151"/>
      <c r="D45" s="119"/>
      <c r="E45" s="215"/>
      <c r="F45" s="443">
        <v>10000</v>
      </c>
      <c r="G45" s="443"/>
      <c r="H45" s="115"/>
      <c r="I45" s="115"/>
    </row>
    <row r="46" spans="1:9" s="115" customFormat="1" ht="13.5" customHeight="1">
      <c r="A46" s="141" t="s">
        <v>18</v>
      </c>
      <c r="B46" s="150" t="s">
        <v>198</v>
      </c>
      <c r="C46" s="151"/>
      <c r="D46" s="119"/>
      <c r="E46" s="119"/>
      <c r="F46" s="443">
        <f>E26*1%</f>
        <v>361.6965</v>
      </c>
      <c r="G46" s="443"/>
      <c r="H46" s="35"/>
      <c r="I46" s="35"/>
    </row>
    <row r="47" spans="1:9" ht="13.5" customHeight="1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13.5" customHeight="1">
      <c r="A48" s="67" t="s">
        <v>55</v>
      </c>
      <c r="B48" s="67"/>
      <c r="C48" s="67" t="s">
        <v>49</v>
      </c>
      <c r="D48" s="67"/>
      <c r="E48" s="67"/>
      <c r="F48" s="67" t="s">
        <v>93</v>
      </c>
      <c r="G48" s="67"/>
      <c r="H48" s="67"/>
      <c r="I48" s="67"/>
    </row>
    <row r="49" spans="1:9" ht="13.5" customHeight="1">
      <c r="A49" s="67"/>
      <c r="B49" s="67"/>
      <c r="C49" s="67"/>
      <c r="D49" s="67"/>
      <c r="E49" s="67"/>
      <c r="F49" s="128" t="s">
        <v>516</v>
      </c>
      <c r="G49" s="67"/>
      <c r="H49" s="67"/>
      <c r="I49" s="67"/>
    </row>
    <row r="50" spans="1:9" ht="13.5" customHeight="1">
      <c r="A50" s="67" t="s">
        <v>50</v>
      </c>
      <c r="B50" s="67"/>
      <c r="C50" s="67"/>
      <c r="D50" s="67"/>
      <c r="E50" s="67"/>
      <c r="F50" s="67"/>
      <c r="G50" s="67"/>
      <c r="H50" s="67"/>
      <c r="I50" s="67"/>
    </row>
    <row r="51" spans="1:9" ht="13.5" customHeight="1">
      <c r="A51" s="67"/>
      <c r="B51" s="67"/>
      <c r="C51" s="130" t="s">
        <v>51</v>
      </c>
      <c r="D51" s="67"/>
      <c r="E51" s="130"/>
      <c r="F51" s="130"/>
      <c r="G51" s="130"/>
      <c r="H51" s="67"/>
      <c r="I51" s="67"/>
    </row>
    <row r="52" spans="2:5" ht="6.75" customHeight="1">
      <c r="B52" s="156"/>
      <c r="C52" s="156"/>
      <c r="D52" s="156"/>
      <c r="E52" s="156"/>
    </row>
    <row r="53" s="67" customFormat="1" ht="15"/>
  </sheetData>
  <sheetProtection/>
  <mergeCells count="18">
    <mergeCell ref="A38:B38"/>
    <mergeCell ref="A1:I1"/>
    <mergeCell ref="A2:I2"/>
    <mergeCell ref="A5:I5"/>
    <mergeCell ref="A10:I10"/>
    <mergeCell ref="A3:K3"/>
    <mergeCell ref="A33:F33"/>
    <mergeCell ref="A11:I11"/>
    <mergeCell ref="F46:G46"/>
    <mergeCell ref="A12:I12"/>
    <mergeCell ref="F44:G44"/>
    <mergeCell ref="A34:C34"/>
    <mergeCell ref="A41:I41"/>
    <mergeCell ref="B43:C43"/>
    <mergeCell ref="F43:G43"/>
    <mergeCell ref="B44:C44"/>
    <mergeCell ref="F45:G45"/>
    <mergeCell ref="A39:B40"/>
  </mergeCells>
  <printOptions/>
  <pageMargins left="0" right="0" top="0" bottom="0" header="0.31496062992125984" footer="0.31496062992125984"/>
  <pageSetup horizontalDpi="600" verticalDpi="600" orientation="portrait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P50"/>
  <sheetViews>
    <sheetView zoomScalePageLayoutView="0" workbookViewId="0" topLeftCell="A25">
      <selection activeCell="G34" sqref="G34"/>
    </sheetView>
  </sheetViews>
  <sheetFormatPr defaultColWidth="9.140625" defaultRowHeight="15" outlineLevelCol="1"/>
  <cols>
    <col min="1" max="1" width="4.7109375" style="35" customWidth="1"/>
    <col min="2" max="2" width="48.421875" style="35" customWidth="1"/>
    <col min="3" max="3" width="13.140625" style="35" customWidth="1"/>
    <col min="4" max="4" width="13.7109375" style="35" customWidth="1"/>
    <col min="5" max="5" width="12.7109375" style="35" customWidth="1"/>
    <col min="6" max="6" width="11.8515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1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4.2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5.2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7.2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4.5" customHeight="1"/>
    <row r="7" spans="1:6" s="67" customFormat="1" ht="16.5" customHeight="1">
      <c r="A7" s="67" t="s">
        <v>2</v>
      </c>
      <c r="F7" s="128" t="s">
        <v>266</v>
      </c>
    </row>
    <row r="8" spans="1:11" s="67" customFormat="1" ht="15">
      <c r="A8" s="67" t="s">
        <v>3</v>
      </c>
      <c r="F8" s="299" t="s">
        <v>267</v>
      </c>
      <c r="I8" s="204">
        <f>9.6+220.3+129.7</f>
        <v>359.6</v>
      </c>
      <c r="J8" s="204">
        <f>1653.6</f>
        <v>1653.6</v>
      </c>
      <c r="K8" s="204">
        <f>I8+J8</f>
        <v>2013.1999999999998</v>
      </c>
    </row>
    <row r="9" s="67" customFormat="1" ht="4.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313</v>
      </c>
      <c r="B14" s="64"/>
      <c r="C14" s="64"/>
      <c r="D14" s="69"/>
      <c r="E14" s="70"/>
      <c r="F14" s="70"/>
      <c r="G14" s="146">
        <f>'[1]Чичерина 19'!$G$35</f>
        <v>111854.6802</v>
      </c>
      <c r="H14" s="62"/>
      <c r="I14" s="62"/>
    </row>
    <row r="15" s="67" customFormat="1" ht="6.75" customHeight="1"/>
    <row r="16" spans="1:7" s="74" customFormat="1" ht="38.25">
      <c r="A16" s="72" t="s">
        <v>11</v>
      </c>
      <c r="B16" s="72" t="s">
        <v>12</v>
      </c>
      <c r="C16" s="72" t="s">
        <v>94</v>
      </c>
      <c r="D16" s="72" t="s">
        <v>374</v>
      </c>
      <c r="E16" s="72" t="s">
        <v>375</v>
      </c>
      <c r="F16" s="73" t="s">
        <v>376</v>
      </c>
      <c r="G16" s="72" t="s">
        <v>377</v>
      </c>
    </row>
    <row r="17" spans="1:16" s="67" customFormat="1" ht="16.5" customHeight="1">
      <c r="A17" s="75" t="s">
        <v>14</v>
      </c>
      <c r="B17" s="41" t="s">
        <v>15</v>
      </c>
      <c r="C17" s="137">
        <f>C18+C19+C20+C21</f>
        <v>9.879999999999999</v>
      </c>
      <c r="D17" s="76">
        <v>235866.68</v>
      </c>
      <c r="E17" s="76">
        <v>156658.57</v>
      </c>
      <c r="F17" s="76">
        <f aca="true" t="shared" si="0" ref="F17:F24">D17</f>
        <v>235866.68</v>
      </c>
      <c r="G17" s="77">
        <f>D17-E17</f>
        <v>79208.10999999999</v>
      </c>
      <c r="H17" s="147">
        <f>C17</f>
        <v>9.879999999999999</v>
      </c>
      <c r="P17" s="214"/>
    </row>
    <row r="18" spans="1:9" s="67" customFormat="1" ht="15">
      <c r="A18" s="81" t="s">
        <v>16</v>
      </c>
      <c r="B18" s="34" t="s">
        <v>17</v>
      </c>
      <c r="C18" s="99">
        <v>3.46</v>
      </c>
      <c r="D18" s="83">
        <f>D17*I18</f>
        <v>82601.08429149797</v>
      </c>
      <c r="E18" s="83">
        <f>E17*I18</f>
        <v>54862.21176113361</v>
      </c>
      <c r="F18" s="83">
        <f t="shared" si="0"/>
        <v>82601.08429149797</v>
      </c>
      <c r="G18" s="84">
        <f>D18-E18</f>
        <v>27738.872530364366</v>
      </c>
      <c r="H18" s="147">
        <f>C18</f>
        <v>3.46</v>
      </c>
      <c r="I18" s="67">
        <f>H18/H17</f>
        <v>0.3502024291497976</v>
      </c>
    </row>
    <row r="19" spans="1:9" s="67" customFormat="1" ht="15">
      <c r="A19" s="81" t="s">
        <v>18</v>
      </c>
      <c r="B19" s="34" t="s">
        <v>19</v>
      </c>
      <c r="C19" s="99">
        <v>1.69</v>
      </c>
      <c r="D19" s="83">
        <f>D17*I19</f>
        <v>40345.61631578948</v>
      </c>
      <c r="E19" s="83">
        <f>E17*I19</f>
        <v>26796.86065789474</v>
      </c>
      <c r="F19" s="83">
        <f t="shared" si="0"/>
        <v>40345.61631578948</v>
      </c>
      <c r="G19" s="84">
        <f>D19-E19</f>
        <v>13548.755657894737</v>
      </c>
      <c r="H19" s="147">
        <f>C19</f>
        <v>1.69</v>
      </c>
      <c r="I19" s="67">
        <f>H19/H17</f>
        <v>0.17105263157894737</v>
      </c>
    </row>
    <row r="20" spans="1:9" s="67" customFormat="1" ht="15">
      <c r="A20" s="81" t="s">
        <v>20</v>
      </c>
      <c r="B20" s="34" t="s">
        <v>21</v>
      </c>
      <c r="C20" s="99">
        <v>1.69</v>
      </c>
      <c r="D20" s="83">
        <f>D17*I20</f>
        <v>40345.61631578948</v>
      </c>
      <c r="E20" s="83">
        <f>E17*I20</f>
        <v>26796.86065789474</v>
      </c>
      <c r="F20" s="83">
        <f t="shared" si="0"/>
        <v>40345.61631578948</v>
      </c>
      <c r="G20" s="84">
        <f>D20-E20</f>
        <v>13548.755657894737</v>
      </c>
      <c r="H20" s="147">
        <f>C20</f>
        <v>1.69</v>
      </c>
      <c r="I20" s="67">
        <f>H20/H17</f>
        <v>0.17105263157894737</v>
      </c>
    </row>
    <row r="21" spans="1:9" s="67" customFormat="1" ht="15">
      <c r="A21" s="81" t="s">
        <v>22</v>
      </c>
      <c r="B21" s="34" t="s">
        <v>23</v>
      </c>
      <c r="C21" s="99">
        <v>3.04</v>
      </c>
      <c r="D21" s="83">
        <f>D17*I21</f>
        <v>72574.36307692308</v>
      </c>
      <c r="E21" s="83">
        <f>E17*I21</f>
        <v>48202.63692307693</v>
      </c>
      <c r="F21" s="83">
        <f t="shared" si="0"/>
        <v>72574.36307692308</v>
      </c>
      <c r="G21" s="84">
        <f>D21-E21</f>
        <v>24371.726153846153</v>
      </c>
      <c r="H21" s="147">
        <f>C21</f>
        <v>3.04</v>
      </c>
      <c r="I21" s="67">
        <f>H21/H17</f>
        <v>0.3076923076923077</v>
      </c>
    </row>
    <row r="22" spans="1:7" ht="15">
      <c r="A22" s="41" t="s">
        <v>25</v>
      </c>
      <c r="B22" s="142" t="s">
        <v>141</v>
      </c>
      <c r="C22" s="46">
        <v>0</v>
      </c>
      <c r="D22" s="77">
        <v>0</v>
      </c>
      <c r="E22" s="77">
        <v>0</v>
      </c>
      <c r="F22" s="77">
        <f t="shared" si="0"/>
        <v>0</v>
      </c>
      <c r="G22" s="77">
        <f aca="true" t="shared" si="1" ref="G22:G31">D22-E22</f>
        <v>0</v>
      </c>
    </row>
    <row r="23" spans="1:7" ht="15">
      <c r="A23" s="41" t="s">
        <v>27</v>
      </c>
      <c r="B23" s="142" t="s">
        <v>28</v>
      </c>
      <c r="C23" s="97">
        <v>0</v>
      </c>
      <c r="D23" s="77">
        <v>0</v>
      </c>
      <c r="E23" s="77">
        <v>0</v>
      </c>
      <c r="F23" s="77">
        <f t="shared" si="0"/>
        <v>0</v>
      </c>
      <c r="G23" s="77">
        <f t="shared" si="1"/>
        <v>0</v>
      </c>
    </row>
    <row r="24" spans="1:7" ht="15">
      <c r="A24" s="41" t="s">
        <v>29</v>
      </c>
      <c r="B24" s="142" t="s">
        <v>168</v>
      </c>
      <c r="C24" s="143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31</v>
      </c>
      <c r="B25" s="142" t="s">
        <v>119</v>
      </c>
      <c r="C25" s="97">
        <v>5</v>
      </c>
      <c r="D25" s="77">
        <v>120792</v>
      </c>
      <c r="E25" s="77">
        <v>80387.99</v>
      </c>
      <c r="F25" s="87">
        <f>F39</f>
        <v>55021.759900000005</v>
      </c>
      <c r="G25" s="77">
        <f t="shared" si="1"/>
        <v>40404.009999999995</v>
      </c>
    </row>
    <row r="26" spans="1:7" ht="15">
      <c r="A26" s="41" t="s">
        <v>33</v>
      </c>
      <c r="B26" s="136" t="s">
        <v>34</v>
      </c>
      <c r="C26" s="46">
        <v>0</v>
      </c>
      <c r="D26" s="77">
        <v>0</v>
      </c>
      <c r="E26" s="77">
        <v>0</v>
      </c>
      <c r="F26" s="87">
        <v>0</v>
      </c>
      <c r="G26" s="77">
        <f t="shared" si="1"/>
        <v>0</v>
      </c>
    </row>
    <row r="27" spans="1:7" ht="15">
      <c r="A27" s="41" t="s">
        <v>35</v>
      </c>
      <c r="B27" s="136" t="s">
        <v>36</v>
      </c>
      <c r="C27" s="97"/>
      <c r="D27" s="77">
        <f>SUM(D28:D31)</f>
        <v>244489.72</v>
      </c>
      <c r="E27" s="77">
        <f>SUM(E28:E31)</f>
        <v>155243.05</v>
      </c>
      <c r="F27" s="77">
        <f>SUM(F28:F31)</f>
        <v>244489.72</v>
      </c>
      <c r="G27" s="77">
        <f t="shared" si="1"/>
        <v>89246.67000000001</v>
      </c>
    </row>
    <row r="28" spans="1:7" ht="15">
      <c r="A28" s="34" t="s">
        <v>37</v>
      </c>
      <c r="B28" s="34" t="s">
        <v>172</v>
      </c>
      <c r="C28" s="293" t="s">
        <v>379</v>
      </c>
      <c r="D28" s="84">
        <v>22130.46</v>
      </c>
      <c r="E28" s="84">
        <v>14606.64</v>
      </c>
      <c r="F28" s="84">
        <f>D28</f>
        <v>22130.46</v>
      </c>
      <c r="G28" s="84">
        <f t="shared" si="1"/>
        <v>7523.82</v>
      </c>
    </row>
    <row r="29" spans="1:7" ht="15">
      <c r="A29" s="34" t="s">
        <v>39</v>
      </c>
      <c r="B29" s="34" t="s">
        <v>142</v>
      </c>
      <c r="C29" s="293" t="s">
        <v>382</v>
      </c>
      <c r="D29" s="84">
        <v>222359.26</v>
      </c>
      <c r="E29" s="84">
        <v>140636.41</v>
      </c>
      <c r="F29" s="84">
        <f>D29</f>
        <v>222359.26</v>
      </c>
      <c r="G29" s="84">
        <f t="shared" si="1"/>
        <v>81722.85</v>
      </c>
    </row>
    <row r="30" spans="1:7" ht="15">
      <c r="A30" s="34" t="s">
        <v>42</v>
      </c>
      <c r="B30" s="34" t="s">
        <v>40</v>
      </c>
      <c r="C30" s="145">
        <v>0</v>
      </c>
      <c r="D30" s="84">
        <v>0</v>
      </c>
      <c r="E30" s="84">
        <v>0</v>
      </c>
      <c r="F30" s="84">
        <f>D30</f>
        <v>0</v>
      </c>
      <c r="G30" s="84">
        <f t="shared" si="1"/>
        <v>0</v>
      </c>
    </row>
    <row r="31" spans="1:9" ht="15.75" thickBot="1">
      <c r="A31" s="34" t="s">
        <v>41</v>
      </c>
      <c r="B31" s="34" t="s">
        <v>43</v>
      </c>
      <c r="C31" s="293">
        <v>0</v>
      </c>
      <c r="D31" s="216">
        <v>0</v>
      </c>
      <c r="E31" s="216">
        <v>0</v>
      </c>
      <c r="F31" s="84">
        <f>D31</f>
        <v>0</v>
      </c>
      <c r="G31" s="84">
        <f t="shared" si="1"/>
        <v>0</v>
      </c>
      <c r="H31" s="101"/>
      <c r="I31" s="101"/>
    </row>
    <row r="32" spans="1:10" s="102" customFormat="1" ht="14.25" thickBot="1">
      <c r="A32" s="378" t="s">
        <v>383</v>
      </c>
      <c r="B32" s="379"/>
      <c r="C32" s="379"/>
      <c r="D32" s="65">
        <v>703236.69</v>
      </c>
      <c r="E32" s="66"/>
      <c r="F32" s="66"/>
      <c r="G32" s="66"/>
      <c r="H32" s="62"/>
      <c r="I32" s="62"/>
      <c r="J32" s="101"/>
    </row>
    <row r="33" spans="1:9" s="67" customFormat="1" ht="8.25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G14+E25-F25</f>
        <v>137220.9103</v>
      </c>
      <c r="H34" s="62"/>
      <c r="I34" s="62"/>
    </row>
    <row r="35" spans="1:9" s="67" customFormat="1" ht="15">
      <c r="A35" s="68"/>
      <c r="B35" s="68"/>
      <c r="C35" s="68"/>
      <c r="D35" s="40"/>
      <c r="E35" s="66"/>
      <c r="F35" s="66"/>
      <c r="G35" s="40"/>
      <c r="H35" s="62"/>
      <c r="I35" s="62"/>
    </row>
    <row r="36" spans="1:9" s="67" customFormat="1" ht="31.5" customHeight="1">
      <c r="A36" s="433" t="s">
        <v>44</v>
      </c>
      <c r="B36" s="433"/>
      <c r="C36" s="433"/>
      <c r="D36" s="433"/>
      <c r="E36" s="433"/>
      <c r="F36" s="433"/>
      <c r="G36" s="433"/>
      <c r="H36" s="433"/>
      <c r="I36" s="433"/>
    </row>
    <row r="38" spans="1:9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173"/>
      <c r="I38" s="173"/>
    </row>
    <row r="39" spans="1:9" s="173" customFormat="1" ht="28.5" customHeight="1">
      <c r="A39" s="109" t="s">
        <v>47</v>
      </c>
      <c r="B39" s="396" t="s">
        <v>114</v>
      </c>
      <c r="C39" s="399"/>
      <c r="D39" s="111"/>
      <c r="E39" s="111"/>
      <c r="F39" s="411">
        <f>SUM(F40:L44)</f>
        <v>55021.759900000005</v>
      </c>
      <c r="G39" s="404"/>
      <c r="H39" s="115"/>
      <c r="I39" s="115"/>
    </row>
    <row r="40" spans="1:9" s="173" customFormat="1" ht="15">
      <c r="A40" s="141" t="s">
        <v>16</v>
      </c>
      <c r="B40" s="150" t="s">
        <v>179</v>
      </c>
      <c r="C40" s="151"/>
      <c r="D40" s="119" t="s">
        <v>174</v>
      </c>
      <c r="E40" s="122">
        <v>600</v>
      </c>
      <c r="F40" s="443">
        <v>4206.6</v>
      </c>
      <c r="G40" s="443"/>
      <c r="H40" s="115"/>
      <c r="I40" s="115"/>
    </row>
    <row r="41" spans="1:9" s="173" customFormat="1" ht="15">
      <c r="A41" s="141" t="s">
        <v>18</v>
      </c>
      <c r="B41" s="150" t="s">
        <v>175</v>
      </c>
      <c r="C41" s="151"/>
      <c r="D41" s="119" t="s">
        <v>240</v>
      </c>
      <c r="E41" s="122">
        <v>0.15</v>
      </c>
      <c r="F41" s="443">
        <v>9811.28</v>
      </c>
      <c r="G41" s="443"/>
      <c r="H41" s="115"/>
      <c r="I41" s="115"/>
    </row>
    <row r="42" spans="1:9" s="173" customFormat="1" ht="15">
      <c r="A42" s="141" t="s">
        <v>20</v>
      </c>
      <c r="B42" s="369" t="s">
        <v>175</v>
      </c>
      <c r="C42" s="415"/>
      <c r="D42" s="119"/>
      <c r="E42" s="122"/>
      <c r="F42" s="398">
        <v>18200</v>
      </c>
      <c r="G42" s="398"/>
      <c r="H42" s="115"/>
      <c r="I42" s="115"/>
    </row>
    <row r="43" spans="1:9" s="173" customFormat="1" ht="15">
      <c r="A43" s="141" t="s">
        <v>22</v>
      </c>
      <c r="B43" s="369" t="s">
        <v>796</v>
      </c>
      <c r="C43" s="415"/>
      <c r="D43" s="119"/>
      <c r="E43" s="154"/>
      <c r="F43" s="398">
        <v>22000</v>
      </c>
      <c r="G43" s="398"/>
      <c r="H43" s="115"/>
      <c r="I43" s="115"/>
    </row>
    <row r="44" spans="1:9" s="115" customFormat="1" ht="13.5" customHeight="1">
      <c r="A44" s="141" t="s">
        <v>24</v>
      </c>
      <c r="B44" s="150" t="s">
        <v>198</v>
      </c>
      <c r="C44" s="151"/>
      <c r="D44" s="119"/>
      <c r="E44" s="119"/>
      <c r="F44" s="443">
        <f>E25*1%</f>
        <v>803.8799</v>
      </c>
      <c r="G44" s="443"/>
      <c r="H44" s="35"/>
      <c r="I44" s="35"/>
    </row>
    <row r="45" spans="1:9" ht="13.5" customHeight="1">
      <c r="A45" s="67"/>
      <c r="B45" s="67"/>
      <c r="C45" s="67"/>
      <c r="D45" s="67"/>
      <c r="E45" s="67"/>
      <c r="F45" s="67"/>
      <c r="G45" s="67"/>
      <c r="H45" s="67"/>
      <c r="I45" s="67"/>
    </row>
    <row r="46" spans="1:9" ht="13.5" customHeight="1">
      <c r="A46" s="67" t="s">
        <v>55</v>
      </c>
      <c r="B46" s="67"/>
      <c r="C46" s="67" t="s">
        <v>49</v>
      </c>
      <c r="D46" s="67"/>
      <c r="E46" s="67"/>
      <c r="F46" s="67" t="s">
        <v>93</v>
      </c>
      <c r="G46" s="67"/>
      <c r="H46" s="67"/>
      <c r="I46" s="67"/>
    </row>
    <row r="47" spans="1:9" ht="13.5" customHeight="1">
      <c r="A47" s="67"/>
      <c r="B47" s="67"/>
      <c r="C47" s="67"/>
      <c r="D47" s="67"/>
      <c r="E47" s="67"/>
      <c r="F47" s="128" t="s">
        <v>516</v>
      </c>
      <c r="G47" s="67"/>
      <c r="H47" s="67"/>
      <c r="I47" s="67"/>
    </row>
    <row r="48" spans="1:9" ht="13.5" customHeight="1">
      <c r="A48" s="67" t="s">
        <v>50</v>
      </c>
      <c r="B48" s="67"/>
      <c r="C48" s="67"/>
      <c r="D48" s="67"/>
      <c r="E48" s="67"/>
      <c r="F48" s="67"/>
      <c r="G48" s="67"/>
      <c r="H48" s="67"/>
      <c r="I48" s="67"/>
    </row>
    <row r="49" spans="1:9" ht="13.5" customHeight="1">
      <c r="A49" s="67"/>
      <c r="B49" s="67"/>
      <c r="C49" s="130" t="s">
        <v>51</v>
      </c>
      <c r="D49" s="67"/>
      <c r="E49" s="130"/>
      <c r="F49" s="130"/>
      <c r="G49" s="130"/>
      <c r="H49" s="67"/>
      <c r="I49" s="67"/>
    </row>
    <row r="50" spans="2:5" ht="6.75" customHeight="1">
      <c r="B50" s="156"/>
      <c r="C50" s="156"/>
      <c r="D50" s="156"/>
      <c r="E50" s="156"/>
    </row>
    <row r="51" s="67" customFormat="1" ht="15"/>
  </sheetData>
  <sheetProtection/>
  <mergeCells count="20">
    <mergeCell ref="F41:G41"/>
    <mergeCell ref="B39:C39"/>
    <mergeCell ref="F40:G40"/>
    <mergeCell ref="A1:I1"/>
    <mergeCell ref="A2:I2"/>
    <mergeCell ref="A3:K3"/>
    <mergeCell ref="A5:I5"/>
    <mergeCell ref="A10:I10"/>
    <mergeCell ref="A11:I11"/>
    <mergeCell ref="F39:G39"/>
    <mergeCell ref="B42:C42"/>
    <mergeCell ref="F42:G42"/>
    <mergeCell ref="F44:G44"/>
    <mergeCell ref="A12:I12"/>
    <mergeCell ref="A32:C32"/>
    <mergeCell ref="A36:I36"/>
    <mergeCell ref="B38:C38"/>
    <mergeCell ref="F38:G38"/>
    <mergeCell ref="B43:C43"/>
    <mergeCell ref="F43:G43"/>
  </mergeCells>
  <printOptions/>
  <pageMargins left="0" right="0" top="0" bottom="0" header="0.31496062992125984" footer="0.31496062992125984"/>
  <pageSetup horizontalDpi="600" verticalDpi="6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K50"/>
  <sheetViews>
    <sheetView zoomScalePageLayoutView="0" workbookViewId="0" topLeftCell="A28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8.140625" style="35" customWidth="1"/>
    <col min="3" max="3" width="13.00390625" style="35" customWidth="1"/>
    <col min="4" max="4" width="13.140625" style="35" customWidth="1"/>
    <col min="5" max="5" width="12.7109375" style="35" customWidth="1"/>
    <col min="6" max="6" width="13.140625" style="35" customWidth="1"/>
    <col min="7" max="7" width="13.8515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.7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.7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7.2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6" customHeight="1"/>
    <row r="7" spans="1:6" s="67" customFormat="1" ht="16.5" customHeight="1">
      <c r="A7" s="67" t="s">
        <v>2</v>
      </c>
      <c r="F7" s="128" t="s">
        <v>88</v>
      </c>
    </row>
    <row r="8" spans="1:11" s="67" customFormat="1" ht="15">
      <c r="A8" s="67" t="s">
        <v>3</v>
      </c>
      <c r="F8" s="299" t="s">
        <v>268</v>
      </c>
      <c r="I8" s="204">
        <v>672.7</v>
      </c>
      <c r="J8" s="204">
        <v>2067.9</v>
      </c>
      <c r="K8" s="204">
        <f>I8+J8</f>
        <v>2740.6000000000004</v>
      </c>
    </row>
    <row r="9" s="67" customFormat="1" ht="4.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'[1]Чичерина 22'!$G$36</f>
        <v>13844.94</v>
      </c>
      <c r="H14" s="62"/>
      <c r="I14" s="62"/>
    </row>
    <row r="15" spans="1:9" s="67" customFormat="1" ht="15.75" thickBot="1">
      <c r="A15" s="63" t="s">
        <v>415</v>
      </c>
      <c r="B15" s="64"/>
      <c r="C15" s="64"/>
      <c r="D15" s="69"/>
      <c r="E15" s="70"/>
      <c r="F15" s="70"/>
      <c r="G15" s="146">
        <f>'[1]Чичерина 22'!$G$37</f>
        <v>2583.3297999999995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15">
      <c r="A18" s="75" t="s">
        <v>14</v>
      </c>
      <c r="B18" s="41" t="s">
        <v>15</v>
      </c>
      <c r="C18" s="137">
        <f>C19+C20+C21+C22</f>
        <v>9.879999999999999</v>
      </c>
      <c r="D18" s="76">
        <v>242907.86</v>
      </c>
      <c r="E18" s="76">
        <v>245231.1</v>
      </c>
      <c r="F18" s="76">
        <f aca="true" t="shared" si="0" ref="F18:F25">D18</f>
        <v>242907.86</v>
      </c>
      <c r="G18" s="77">
        <f>D18-E18</f>
        <v>-2323.24000000002</v>
      </c>
      <c r="H18" s="14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85066.92263157896</v>
      </c>
      <c r="E19" s="83">
        <f>E18*I19</f>
        <v>85880.52692307693</v>
      </c>
      <c r="F19" s="83">
        <f t="shared" si="0"/>
        <v>85066.92263157896</v>
      </c>
      <c r="G19" s="84">
        <f>D19-E19</f>
        <v>-813.6042914979771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41550.02868421053</v>
      </c>
      <c r="E20" s="83">
        <f>E18*I20</f>
        <v>41947.425</v>
      </c>
      <c r="F20" s="83">
        <f t="shared" si="0"/>
        <v>41550.02868421053</v>
      </c>
      <c r="G20" s="84">
        <f aca="true" t="shared" si="1" ref="G20:G32">D20-E20</f>
        <v>-397.3963157894759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41550.02868421053</v>
      </c>
      <c r="E21" s="83">
        <f>E18*I21</f>
        <v>41947.425</v>
      </c>
      <c r="F21" s="83">
        <f t="shared" si="0"/>
        <v>41550.02868421053</v>
      </c>
      <c r="G21" s="84">
        <f t="shared" si="1"/>
        <v>-397.3963157894759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74740.88</v>
      </c>
      <c r="E22" s="83">
        <f>E18*I22</f>
        <v>75455.72307692308</v>
      </c>
      <c r="F22" s="83">
        <f t="shared" si="0"/>
        <v>74740.88</v>
      </c>
      <c r="G22" s="84">
        <f t="shared" si="1"/>
        <v>-714.8430769230763</v>
      </c>
      <c r="H22" s="147">
        <f>C22</f>
        <v>3.04</v>
      </c>
      <c r="I22" s="67">
        <f>H22/H18</f>
        <v>0.3076923076923077</v>
      </c>
    </row>
    <row r="23" spans="1:7" ht="15">
      <c r="A23" s="41" t="s">
        <v>25</v>
      </c>
      <c r="B23" s="142" t="s">
        <v>141</v>
      </c>
      <c r="C23" s="46">
        <v>0</v>
      </c>
      <c r="D23" s="77">
        <v>0</v>
      </c>
      <c r="E23" s="77">
        <v>0</v>
      </c>
      <c r="F23" s="77">
        <f t="shared" si="0"/>
        <v>0</v>
      </c>
      <c r="G23" s="77">
        <f t="shared" si="1"/>
        <v>0</v>
      </c>
    </row>
    <row r="24" spans="1:7" ht="1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2" t="s">
        <v>168</v>
      </c>
      <c r="C25" s="143">
        <v>0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2" t="s">
        <v>119</v>
      </c>
      <c r="C26" s="97">
        <v>1.86</v>
      </c>
      <c r="D26" s="77">
        <v>45659.36</v>
      </c>
      <c r="E26" s="77">
        <v>46058.54</v>
      </c>
      <c r="F26" s="87">
        <f>F42</f>
        <v>10460.5854</v>
      </c>
      <c r="G26" s="77">
        <f t="shared" si="1"/>
        <v>-399.1800000000003</v>
      </c>
    </row>
    <row r="27" spans="1:7" ht="15">
      <c r="A27" s="41" t="s">
        <v>33</v>
      </c>
      <c r="B27" s="136" t="s">
        <v>34</v>
      </c>
      <c r="C27" s="46">
        <v>0</v>
      </c>
      <c r="D27" s="77">
        <v>0</v>
      </c>
      <c r="E27" s="77">
        <v>8.57</v>
      </c>
      <c r="F27" s="87">
        <v>0</v>
      </c>
      <c r="G27" s="77">
        <f t="shared" si="1"/>
        <v>-8.57</v>
      </c>
    </row>
    <row r="28" spans="1:7" ht="15">
      <c r="A28" s="41" t="s">
        <v>35</v>
      </c>
      <c r="B28" s="136" t="s">
        <v>36</v>
      </c>
      <c r="C28" s="97"/>
      <c r="D28" s="77">
        <f>SUM(D29:D32)</f>
        <v>1164539.32</v>
      </c>
      <c r="E28" s="77">
        <f>SUM(E29:E32)</f>
        <v>1164894.47</v>
      </c>
      <c r="F28" s="77">
        <f>SUM(F29:F32)</f>
        <v>1164539.32</v>
      </c>
      <c r="G28" s="77">
        <f t="shared" si="1"/>
        <v>-355.14999999990687</v>
      </c>
    </row>
    <row r="29" spans="1:7" ht="15">
      <c r="A29" s="34" t="s">
        <v>37</v>
      </c>
      <c r="B29" s="34" t="s">
        <v>172</v>
      </c>
      <c r="C29" s="99" t="s">
        <v>250</v>
      </c>
      <c r="D29" s="84">
        <v>42081.86</v>
      </c>
      <c r="E29" s="84">
        <v>12554.86</v>
      </c>
      <c r="F29" s="84">
        <f>D29</f>
        <v>42081.86</v>
      </c>
      <c r="G29" s="84">
        <f t="shared" si="1"/>
        <v>29527</v>
      </c>
    </row>
    <row r="30" spans="1:7" ht="15">
      <c r="A30" s="34" t="s">
        <v>39</v>
      </c>
      <c r="B30" s="34" t="s">
        <v>142</v>
      </c>
      <c r="C30" s="99" t="s">
        <v>253</v>
      </c>
      <c r="D30" s="84">
        <v>274662.46</v>
      </c>
      <c r="E30" s="84">
        <v>259410.99</v>
      </c>
      <c r="F30" s="84">
        <f>D30</f>
        <v>274662.46</v>
      </c>
      <c r="G30" s="84">
        <f t="shared" si="1"/>
        <v>15251.47000000003</v>
      </c>
    </row>
    <row r="31" spans="1:7" ht="15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">
      <c r="A32" s="34" t="s">
        <v>41</v>
      </c>
      <c r="B32" s="34" t="s">
        <v>43</v>
      </c>
      <c r="C32" s="99" t="s">
        <v>251</v>
      </c>
      <c r="D32" s="84">
        <v>847795</v>
      </c>
      <c r="E32" s="84">
        <v>892928.62</v>
      </c>
      <c r="F32" s="84">
        <f>D32</f>
        <v>847795</v>
      </c>
      <c r="G32" s="84">
        <f t="shared" si="1"/>
        <v>-45133.619999999995</v>
      </c>
      <c r="H32" s="101"/>
      <c r="I32" s="101"/>
    </row>
    <row r="33" spans="1:9" ht="15.75" thickBot="1">
      <c r="A33" s="363" t="s">
        <v>378</v>
      </c>
      <c r="B33" s="364"/>
      <c r="C33" s="364"/>
      <c r="D33" s="365"/>
      <c r="E33" s="365"/>
      <c r="F33" s="365"/>
      <c r="G33" s="172"/>
      <c r="H33" s="101"/>
      <c r="I33" s="101"/>
    </row>
    <row r="34" spans="1:10" s="102" customFormat="1" ht="14.25" thickBot="1">
      <c r="A34" s="378" t="s">
        <v>383</v>
      </c>
      <c r="B34" s="379"/>
      <c r="C34" s="379"/>
      <c r="D34" s="65">
        <v>879806.5</v>
      </c>
      <c r="E34" s="66"/>
      <c r="F34" s="66"/>
      <c r="G34" s="66"/>
      <c r="H34" s="62"/>
      <c r="I34" s="62"/>
      <c r="J34" s="101"/>
    </row>
    <row r="35" spans="1:9" s="67" customFormat="1" ht="7.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13853.51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38181.284400000004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31.5" customHeight="1">
      <c r="A39" s="433" t="s">
        <v>44</v>
      </c>
      <c r="B39" s="433"/>
      <c r="C39" s="433"/>
      <c r="D39" s="433"/>
      <c r="E39" s="433"/>
      <c r="F39" s="433"/>
      <c r="G39" s="433"/>
      <c r="H39" s="433"/>
      <c r="I39" s="433"/>
    </row>
    <row r="41" spans="1:9" ht="28.5">
      <c r="A41" s="105" t="s">
        <v>11</v>
      </c>
      <c r="B41" s="394" t="s">
        <v>45</v>
      </c>
      <c r="C41" s="405"/>
      <c r="D41" s="105" t="s">
        <v>170</v>
      </c>
      <c r="E41" s="105" t="s">
        <v>169</v>
      </c>
      <c r="F41" s="394" t="s">
        <v>46</v>
      </c>
      <c r="G41" s="405"/>
      <c r="H41" s="173"/>
      <c r="I41" s="173"/>
    </row>
    <row r="42" spans="1:9" s="173" customFormat="1" ht="15">
      <c r="A42" s="109" t="s">
        <v>47</v>
      </c>
      <c r="B42" s="396" t="s">
        <v>114</v>
      </c>
      <c r="C42" s="399"/>
      <c r="D42" s="111"/>
      <c r="E42" s="111"/>
      <c r="F42" s="411">
        <f>SUM(F43:G44)</f>
        <v>10460.5854</v>
      </c>
      <c r="G42" s="404"/>
      <c r="H42" s="115"/>
      <c r="I42" s="115"/>
    </row>
    <row r="43" spans="1:9" s="173" customFormat="1" ht="15">
      <c r="A43" s="141" t="s">
        <v>16</v>
      </c>
      <c r="B43" s="383" t="s">
        <v>840</v>
      </c>
      <c r="C43" s="400"/>
      <c r="D43" s="207"/>
      <c r="E43" s="207"/>
      <c r="F43" s="459">
        <v>10000</v>
      </c>
      <c r="G43" s="404"/>
      <c r="H43" s="115"/>
      <c r="I43" s="115"/>
    </row>
    <row r="44" spans="1:9" s="115" customFormat="1" ht="13.5" customHeight="1">
      <c r="A44" s="141" t="s">
        <v>18</v>
      </c>
      <c r="B44" s="150" t="s">
        <v>198</v>
      </c>
      <c r="C44" s="151"/>
      <c r="D44" s="119"/>
      <c r="E44" s="119"/>
      <c r="F44" s="443">
        <f>E26*1%</f>
        <v>460.5854</v>
      </c>
      <c r="G44" s="443"/>
      <c r="H44" s="35"/>
      <c r="I44" s="35"/>
    </row>
    <row r="45" spans="1:9" ht="13.5" customHeight="1">
      <c r="A45" s="67"/>
      <c r="B45" s="67"/>
      <c r="C45" s="67"/>
      <c r="D45" s="67"/>
      <c r="E45" s="67"/>
      <c r="F45" s="67"/>
      <c r="G45" s="67"/>
      <c r="H45" s="67"/>
      <c r="I45" s="67"/>
    </row>
    <row r="46" spans="1:9" ht="13.5" customHeight="1">
      <c r="A46" s="67" t="s">
        <v>55</v>
      </c>
      <c r="B46" s="67"/>
      <c r="C46" s="67" t="s">
        <v>49</v>
      </c>
      <c r="D46" s="67"/>
      <c r="E46" s="67"/>
      <c r="F46" s="67" t="s">
        <v>93</v>
      </c>
      <c r="G46" s="67"/>
      <c r="H46" s="67"/>
      <c r="I46" s="67"/>
    </row>
    <row r="47" spans="1:9" ht="13.5" customHeight="1">
      <c r="A47" s="67"/>
      <c r="B47" s="67"/>
      <c r="C47" s="67"/>
      <c r="D47" s="67"/>
      <c r="E47" s="67"/>
      <c r="F47" s="128" t="s">
        <v>516</v>
      </c>
      <c r="G47" s="67"/>
      <c r="H47" s="67"/>
      <c r="I47" s="67"/>
    </row>
    <row r="48" spans="1:9" ht="13.5" customHeight="1">
      <c r="A48" s="67" t="s">
        <v>50</v>
      </c>
      <c r="B48" s="67"/>
      <c r="C48" s="67"/>
      <c r="D48" s="67"/>
      <c r="E48" s="67"/>
      <c r="F48" s="67"/>
      <c r="G48" s="67"/>
      <c r="H48" s="67"/>
      <c r="I48" s="67"/>
    </row>
    <row r="49" spans="3:7" s="67" customFormat="1" ht="15">
      <c r="C49" s="130" t="s">
        <v>51</v>
      </c>
      <c r="E49" s="130"/>
      <c r="F49" s="130"/>
      <c r="G49" s="130"/>
    </row>
    <row r="50" spans="1:9" s="67" customFormat="1" ht="15">
      <c r="A50" s="35"/>
      <c r="B50" s="156"/>
      <c r="C50" s="156"/>
      <c r="D50" s="156"/>
      <c r="E50" s="156"/>
      <c r="F50" s="35"/>
      <c r="G50" s="35"/>
      <c r="H50" s="35"/>
      <c r="I50" s="35"/>
    </row>
    <row r="51" s="67" customFormat="1" ht="13.5" customHeight="1"/>
  </sheetData>
  <sheetProtection/>
  <mergeCells count="17">
    <mergeCell ref="A33:F33"/>
    <mergeCell ref="F42:G42"/>
    <mergeCell ref="A34:C34"/>
    <mergeCell ref="A39:I39"/>
    <mergeCell ref="B41:C41"/>
    <mergeCell ref="F41:G41"/>
    <mergeCell ref="B42:C42"/>
    <mergeCell ref="B43:C43"/>
    <mergeCell ref="F43:G43"/>
    <mergeCell ref="F44:G44"/>
    <mergeCell ref="A1:I1"/>
    <mergeCell ref="A2:I2"/>
    <mergeCell ref="A5:I5"/>
    <mergeCell ref="A10:I10"/>
    <mergeCell ref="A3:K3"/>
    <mergeCell ref="A11:I11"/>
    <mergeCell ref="A12:I1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6">
      <selection activeCell="M47" sqref="M47"/>
    </sheetView>
  </sheetViews>
  <sheetFormatPr defaultColWidth="9.140625" defaultRowHeight="15" outlineLevelCol="1"/>
  <cols>
    <col min="1" max="1" width="3.57421875" style="19" customWidth="1"/>
    <col min="2" max="2" width="24.8515625" style="19" customWidth="1"/>
    <col min="3" max="3" width="8.00390625" style="19" customWidth="1"/>
    <col min="4" max="4" width="10.140625" style="19" customWidth="1"/>
    <col min="5" max="5" width="10.8515625" style="19" customWidth="1"/>
    <col min="6" max="6" width="10.57421875" style="19" customWidth="1"/>
    <col min="7" max="7" width="11.28125" style="19" customWidth="1"/>
    <col min="8" max="8" width="10.140625" style="19" customWidth="1"/>
    <col min="9" max="9" width="10.421875" style="19" customWidth="1"/>
    <col min="10" max="11" width="9.140625" style="19" hidden="1" customWidth="1" outlineLevel="1"/>
    <col min="12" max="12" width="9.140625" style="19" customWidth="1" collapsed="1"/>
    <col min="13" max="16384" width="9.140625" style="19" customWidth="1"/>
  </cols>
  <sheetData>
    <row r="1" spans="1:9" ht="12.75">
      <c r="A1" s="461" t="s">
        <v>0</v>
      </c>
      <c r="B1" s="461"/>
      <c r="C1" s="461"/>
      <c r="D1" s="461"/>
      <c r="E1" s="461"/>
      <c r="F1" s="461"/>
      <c r="G1" s="461"/>
      <c r="H1" s="461"/>
      <c r="I1" s="461"/>
    </row>
    <row r="2" spans="1:9" ht="12.75">
      <c r="A2" s="461" t="s">
        <v>52</v>
      </c>
      <c r="B2" s="461"/>
      <c r="C2" s="461"/>
      <c r="D2" s="461"/>
      <c r="E2" s="461"/>
      <c r="F2" s="461"/>
      <c r="G2" s="461"/>
      <c r="H2" s="461"/>
      <c r="I2" s="461"/>
    </row>
    <row r="3" spans="1:9" ht="12.75">
      <c r="A3" s="461" t="s">
        <v>98</v>
      </c>
      <c r="B3" s="461"/>
      <c r="C3" s="461"/>
      <c r="D3" s="461"/>
      <c r="E3" s="461"/>
      <c r="F3" s="461"/>
      <c r="G3" s="461"/>
      <c r="H3" s="461"/>
      <c r="I3" s="461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462" t="s">
        <v>1</v>
      </c>
      <c r="B5" s="461"/>
      <c r="C5" s="461"/>
      <c r="D5" s="461"/>
      <c r="E5" s="461"/>
      <c r="F5" s="461"/>
      <c r="G5" s="461"/>
      <c r="H5" s="461"/>
      <c r="I5" s="461"/>
    </row>
    <row r="7" spans="1:6" s="21" customFormat="1" ht="12.75">
      <c r="A7" s="21" t="s">
        <v>2</v>
      </c>
      <c r="F7" s="22" t="s">
        <v>53</v>
      </c>
    </row>
    <row r="8" spans="1:6" s="21" customFormat="1" ht="12.75">
      <c r="A8" s="21" t="s">
        <v>3</v>
      </c>
      <c r="F8" s="22" t="s">
        <v>54</v>
      </c>
    </row>
    <row r="9" s="21" customFormat="1" ht="12.75">
      <c r="A9" s="21" t="s">
        <v>4</v>
      </c>
    </row>
    <row r="10" spans="1:6" s="21" customFormat="1" ht="12.75">
      <c r="A10" s="21" t="s">
        <v>5</v>
      </c>
      <c r="F10" s="22" t="s">
        <v>6</v>
      </c>
    </row>
    <row r="11" spans="1:6" s="21" customFormat="1" ht="12.75">
      <c r="A11" s="21" t="s">
        <v>7</v>
      </c>
      <c r="F11" s="22" t="s">
        <v>6</v>
      </c>
    </row>
    <row r="12" s="21" customFormat="1" ht="12.75"/>
    <row r="13" spans="1:9" s="21" customFormat="1" ht="12.75">
      <c r="A13" s="460" t="s">
        <v>8</v>
      </c>
      <c r="B13" s="460"/>
      <c r="C13" s="460"/>
      <c r="D13" s="460"/>
      <c r="E13" s="460"/>
      <c r="F13" s="460"/>
      <c r="G13" s="460"/>
      <c r="H13" s="460"/>
      <c r="I13" s="460"/>
    </row>
    <row r="14" spans="1:9" s="21" customFormat="1" ht="12.75">
      <c r="A14" s="460" t="s">
        <v>9</v>
      </c>
      <c r="B14" s="460"/>
      <c r="C14" s="460"/>
      <c r="D14" s="460"/>
      <c r="E14" s="460"/>
      <c r="F14" s="460"/>
      <c r="G14" s="460"/>
      <c r="H14" s="460"/>
      <c r="I14" s="460"/>
    </row>
    <row r="15" spans="1:9" s="21" customFormat="1" ht="12.75">
      <c r="A15" s="460" t="s">
        <v>10</v>
      </c>
      <c r="B15" s="460"/>
      <c r="C15" s="460"/>
      <c r="D15" s="460"/>
      <c r="E15" s="460"/>
      <c r="F15" s="460"/>
      <c r="G15" s="460"/>
      <c r="H15" s="460"/>
      <c r="I15" s="460"/>
    </row>
    <row r="16" s="21" customFormat="1" ht="12.75"/>
    <row r="17" spans="1:9" s="14" customFormat="1" ht="51">
      <c r="A17" s="5" t="s">
        <v>11</v>
      </c>
      <c r="B17" s="5" t="s">
        <v>12</v>
      </c>
      <c r="C17" s="5" t="s">
        <v>94</v>
      </c>
      <c r="D17" s="5" t="s">
        <v>13</v>
      </c>
      <c r="E17" s="5" t="s">
        <v>89</v>
      </c>
      <c r="F17" s="5" t="s">
        <v>90</v>
      </c>
      <c r="G17" s="13" t="s">
        <v>91</v>
      </c>
      <c r="H17" s="5" t="s">
        <v>92</v>
      </c>
      <c r="I17" s="5" t="s">
        <v>104</v>
      </c>
    </row>
    <row r="18" spans="1:11" s="21" customFormat="1" ht="25.5">
      <c r="A18" s="23" t="s">
        <v>14</v>
      </c>
      <c r="B18" s="24" t="s">
        <v>15</v>
      </c>
      <c r="C18" s="25">
        <v>6.75</v>
      </c>
      <c r="D18" s="23">
        <v>-25096.32</v>
      </c>
      <c r="E18" s="23">
        <v>174103.45</v>
      </c>
      <c r="F18" s="26">
        <v>169317.59</v>
      </c>
      <c r="G18" s="26">
        <f>E18</f>
        <v>174103.45</v>
      </c>
      <c r="H18" s="27">
        <f aca="true" t="shared" si="0" ref="H18:H33">D18+F18-G18</f>
        <v>-29882.180000000022</v>
      </c>
      <c r="I18" s="27">
        <f aca="true" t="shared" si="1" ref="I18:I33">F18-E18</f>
        <v>-4785.860000000015</v>
      </c>
      <c r="J18" s="28">
        <v>6.75</v>
      </c>
      <c r="K18" s="28"/>
    </row>
    <row r="19" spans="1:11" s="21" customFormat="1" ht="25.5">
      <c r="A19" s="23" t="s">
        <v>16</v>
      </c>
      <c r="B19" s="24" t="s">
        <v>17</v>
      </c>
      <c r="C19" s="25">
        <v>2.41</v>
      </c>
      <c r="D19" s="26">
        <v>-8687.19</v>
      </c>
      <c r="E19" s="26">
        <f>E18*K19</f>
        <v>62161.37992592593</v>
      </c>
      <c r="F19" s="26">
        <f>F18*K19</f>
        <v>60452.65065185185</v>
      </c>
      <c r="G19" s="26">
        <f>E19</f>
        <v>62161.37992592593</v>
      </c>
      <c r="H19" s="27">
        <f t="shared" si="0"/>
        <v>-10395.919274074084</v>
      </c>
      <c r="I19" s="27">
        <f t="shared" si="1"/>
        <v>-1708.7292740740813</v>
      </c>
      <c r="J19" s="28">
        <v>2.41</v>
      </c>
      <c r="K19" s="28">
        <f>J19/J18</f>
        <v>0.35703703703703704</v>
      </c>
    </row>
    <row r="20" spans="1:11" s="21" customFormat="1" ht="25.5">
      <c r="A20" s="23" t="s">
        <v>18</v>
      </c>
      <c r="B20" s="24" t="s">
        <v>19</v>
      </c>
      <c r="C20" s="25">
        <v>1.2</v>
      </c>
      <c r="D20" s="26">
        <v>-4918.14</v>
      </c>
      <c r="E20" s="26">
        <f>E18*K20</f>
        <v>30951.724444444448</v>
      </c>
      <c r="F20" s="26">
        <f>F18*K20</f>
        <v>30100.90488888889</v>
      </c>
      <c r="G20" s="26">
        <f>E20</f>
        <v>30951.724444444448</v>
      </c>
      <c r="H20" s="27">
        <f t="shared" si="0"/>
        <v>-5768.959555555557</v>
      </c>
      <c r="I20" s="27">
        <f t="shared" si="1"/>
        <v>-850.8195555555576</v>
      </c>
      <c r="J20" s="28">
        <v>1.2</v>
      </c>
      <c r="K20" s="28">
        <f>J20/J18</f>
        <v>0.17777777777777778</v>
      </c>
    </row>
    <row r="21" spans="1:11" s="21" customFormat="1" ht="25.5">
      <c r="A21" s="23" t="s">
        <v>20</v>
      </c>
      <c r="B21" s="24" t="s">
        <v>21</v>
      </c>
      <c r="C21" s="25">
        <v>1.51</v>
      </c>
      <c r="D21" s="26">
        <v>-6113.21</v>
      </c>
      <c r="E21" s="26">
        <f>E18*K21</f>
        <v>38947.5865925926</v>
      </c>
      <c r="F21" s="26">
        <f>F18*K21</f>
        <v>37876.971985185184</v>
      </c>
      <c r="G21" s="26">
        <f>E21</f>
        <v>38947.5865925926</v>
      </c>
      <c r="H21" s="27">
        <f t="shared" si="0"/>
        <v>-7183.824607407412</v>
      </c>
      <c r="I21" s="27">
        <f t="shared" si="1"/>
        <v>-1070.6146074074131</v>
      </c>
      <c r="J21" s="28">
        <v>1.51</v>
      </c>
      <c r="K21" s="28">
        <f>J21/J18</f>
        <v>0.2237037037037037</v>
      </c>
    </row>
    <row r="22" spans="1:11" s="21" customFormat="1" ht="25.5">
      <c r="A22" s="23" t="s">
        <v>22</v>
      </c>
      <c r="B22" s="24" t="s">
        <v>23</v>
      </c>
      <c r="C22" s="25">
        <v>1.63</v>
      </c>
      <c r="D22" s="26">
        <v>-5377.78</v>
      </c>
      <c r="E22" s="26">
        <f>E18*K22</f>
        <v>42042.75903703704</v>
      </c>
      <c r="F22" s="26">
        <f>F18*K22</f>
        <v>40887.06247407407</v>
      </c>
      <c r="G22" s="26">
        <f>E22</f>
        <v>42042.75903703704</v>
      </c>
      <c r="H22" s="27">
        <f t="shared" si="0"/>
        <v>-6533.476562962969</v>
      </c>
      <c r="I22" s="27">
        <f t="shared" si="1"/>
        <v>-1155.6965629629703</v>
      </c>
      <c r="J22" s="28">
        <v>1.63</v>
      </c>
      <c r="K22" s="28">
        <f>J22/J18</f>
        <v>0.24148148148148146</v>
      </c>
    </row>
    <row r="23" spans="1:9" ht="12.75">
      <c r="A23" s="24" t="s">
        <v>25</v>
      </c>
      <c r="B23" s="24" t="s">
        <v>26</v>
      </c>
      <c r="C23" s="25">
        <v>3.15</v>
      </c>
      <c r="D23" s="24">
        <v>0</v>
      </c>
      <c r="E23" s="24">
        <v>0</v>
      </c>
      <c r="F23" s="27">
        <v>0</v>
      </c>
      <c r="G23" s="27">
        <v>0</v>
      </c>
      <c r="H23" s="27">
        <f t="shared" si="0"/>
        <v>0</v>
      </c>
      <c r="I23" s="27">
        <f t="shared" si="1"/>
        <v>0</v>
      </c>
    </row>
    <row r="24" spans="1:9" ht="12.75">
      <c r="A24" s="24" t="s">
        <v>27</v>
      </c>
      <c r="B24" s="24" t="s">
        <v>28</v>
      </c>
      <c r="C24" s="12">
        <v>2.6</v>
      </c>
      <c r="D24" s="24">
        <v>-6439.37</v>
      </c>
      <c r="E24" s="24">
        <v>59389.92</v>
      </c>
      <c r="F24" s="27">
        <v>57568.62</v>
      </c>
      <c r="G24" s="27">
        <f>E24</f>
        <v>59389.92</v>
      </c>
      <c r="H24" s="27">
        <f t="shared" si="0"/>
        <v>-8260.669999999998</v>
      </c>
      <c r="I24" s="27">
        <f t="shared" si="1"/>
        <v>-1821.2999999999956</v>
      </c>
    </row>
    <row r="25" spans="1:9" ht="12.75" customHeight="1">
      <c r="A25" s="24" t="s">
        <v>29</v>
      </c>
      <c r="B25" s="24" t="s">
        <v>30</v>
      </c>
      <c r="C25" s="25">
        <v>0.81</v>
      </c>
      <c r="D25" s="24">
        <v>0</v>
      </c>
      <c r="E25" s="24">
        <v>0</v>
      </c>
      <c r="F25" s="24">
        <v>0</v>
      </c>
      <c r="G25" s="24">
        <v>0</v>
      </c>
      <c r="H25" s="24">
        <f t="shared" si="0"/>
        <v>0</v>
      </c>
      <c r="I25" s="24">
        <f t="shared" si="1"/>
        <v>0</v>
      </c>
    </row>
    <row r="26" spans="1:9" ht="25.5">
      <c r="A26" s="24" t="s">
        <v>31</v>
      </c>
      <c r="B26" s="24" t="s">
        <v>32</v>
      </c>
      <c r="C26" s="25">
        <v>1.61</v>
      </c>
      <c r="D26" s="24">
        <v>-28369.61</v>
      </c>
      <c r="E26" s="24">
        <v>65703.01</v>
      </c>
      <c r="F26" s="24">
        <v>65330.4</v>
      </c>
      <c r="G26" s="24">
        <v>24581.67</v>
      </c>
      <c r="H26" s="24">
        <f>D26+F26-G26</f>
        <v>12379.120000000003</v>
      </c>
      <c r="I26" s="24">
        <f>F26-E26</f>
        <v>-372.6099999999933</v>
      </c>
    </row>
    <row r="27" spans="1:9" s="33" customFormat="1" ht="12.75">
      <c r="A27" s="474" t="s">
        <v>105</v>
      </c>
      <c r="B27" s="475"/>
      <c r="C27" s="31"/>
      <c r="D27" s="32">
        <f aca="true" t="shared" si="2" ref="D27:I27">D18+D23+D24+D25+D26</f>
        <v>-59905.3</v>
      </c>
      <c r="E27" s="32">
        <f t="shared" si="2"/>
        <v>299196.38</v>
      </c>
      <c r="F27" s="32">
        <f t="shared" si="2"/>
        <v>292216.61</v>
      </c>
      <c r="G27" s="32">
        <f t="shared" si="2"/>
        <v>258075.03999999998</v>
      </c>
      <c r="H27" s="32">
        <f t="shared" si="2"/>
        <v>-25763.730000000018</v>
      </c>
      <c r="I27" s="32">
        <f t="shared" si="2"/>
        <v>-6979.770000000004</v>
      </c>
    </row>
    <row r="28" spans="1:9" ht="25.5">
      <c r="A28" s="24" t="s">
        <v>33</v>
      </c>
      <c r="B28" s="24" t="s">
        <v>34</v>
      </c>
      <c r="C28" s="25">
        <v>0</v>
      </c>
      <c r="D28" s="24">
        <v>21203.4</v>
      </c>
      <c r="E28" s="24">
        <v>0</v>
      </c>
      <c r="F28" s="24">
        <v>42.57</v>
      </c>
      <c r="G28" s="24">
        <v>0</v>
      </c>
      <c r="H28" s="24">
        <f t="shared" si="0"/>
        <v>21245.97</v>
      </c>
      <c r="I28" s="24">
        <f t="shared" si="1"/>
        <v>42.57</v>
      </c>
    </row>
    <row r="29" spans="1:9" ht="25.5">
      <c r="A29" s="24" t="s">
        <v>35</v>
      </c>
      <c r="B29" s="24" t="s">
        <v>36</v>
      </c>
      <c r="C29" s="25">
        <f aca="true" t="shared" si="3" ref="C29:I29">SUM(C30:C33)</f>
        <v>1680.9299999999998</v>
      </c>
      <c r="D29" s="24">
        <f t="shared" si="3"/>
        <v>-101927.91</v>
      </c>
      <c r="E29" s="24">
        <f t="shared" si="3"/>
        <v>1158486.7</v>
      </c>
      <c r="F29" s="24">
        <f t="shared" si="3"/>
        <v>1093856.12</v>
      </c>
      <c r="G29" s="24">
        <f t="shared" si="3"/>
        <v>1144236.6</v>
      </c>
      <c r="H29" s="24">
        <f t="shared" si="3"/>
        <v>-152308.38999999996</v>
      </c>
      <c r="I29" s="24">
        <f t="shared" si="3"/>
        <v>-64630.57999999995</v>
      </c>
    </row>
    <row r="30" spans="1:9" ht="12.75">
      <c r="A30" s="24" t="s">
        <v>37</v>
      </c>
      <c r="B30" s="24" t="s">
        <v>96</v>
      </c>
      <c r="C30" s="12">
        <v>3.13</v>
      </c>
      <c r="D30" s="24">
        <v>-5404.73</v>
      </c>
      <c r="E30" s="24">
        <v>14250.1</v>
      </c>
      <c r="F30" s="24">
        <v>16846.06</v>
      </c>
      <c r="G30" s="24"/>
      <c r="H30" s="24">
        <f t="shared" si="0"/>
        <v>11441.330000000002</v>
      </c>
      <c r="I30" s="24">
        <f t="shared" si="1"/>
        <v>2595.960000000001</v>
      </c>
    </row>
    <row r="31" spans="1:9" ht="12.75">
      <c r="A31" s="24" t="s">
        <v>39</v>
      </c>
      <c r="B31" s="24" t="s">
        <v>38</v>
      </c>
      <c r="C31" s="12">
        <v>18.21</v>
      </c>
      <c r="D31" s="24">
        <v>-13533.66</v>
      </c>
      <c r="E31" s="24">
        <v>202200.89</v>
      </c>
      <c r="F31" s="24">
        <v>195379.97</v>
      </c>
      <c r="G31" s="24">
        <f>E31</f>
        <v>202200.89</v>
      </c>
      <c r="H31" s="24">
        <f t="shared" si="0"/>
        <v>-20354.580000000016</v>
      </c>
      <c r="I31" s="24">
        <f t="shared" si="1"/>
        <v>-6820.920000000013</v>
      </c>
    </row>
    <row r="32" spans="1:9" ht="12.75">
      <c r="A32" s="24" t="s">
        <v>42</v>
      </c>
      <c r="B32" s="24" t="s">
        <v>40</v>
      </c>
      <c r="C32" s="12">
        <v>115.3</v>
      </c>
      <c r="D32" s="24">
        <v>-22785.21</v>
      </c>
      <c r="E32" s="24">
        <v>350895.14</v>
      </c>
      <c r="F32" s="24">
        <v>322914.71</v>
      </c>
      <c r="G32" s="24">
        <f>E32</f>
        <v>350895.14</v>
      </c>
      <c r="H32" s="24">
        <f t="shared" si="0"/>
        <v>-50765.640000000014</v>
      </c>
      <c r="I32" s="24">
        <f t="shared" si="1"/>
        <v>-27980.429999999993</v>
      </c>
    </row>
    <row r="33" spans="1:9" ht="12.75">
      <c r="A33" s="24" t="s">
        <v>41</v>
      </c>
      <c r="B33" s="24" t="s">
        <v>43</v>
      </c>
      <c r="C33" s="12">
        <v>1544.29</v>
      </c>
      <c r="D33" s="24">
        <v>-60204.31</v>
      </c>
      <c r="E33" s="24">
        <v>591140.57</v>
      </c>
      <c r="F33" s="24">
        <v>558715.38</v>
      </c>
      <c r="G33" s="24">
        <f>E33</f>
        <v>591140.57</v>
      </c>
      <c r="H33" s="24">
        <f t="shared" si="0"/>
        <v>-92629.49999999994</v>
      </c>
      <c r="I33" s="24">
        <f t="shared" si="1"/>
        <v>-32425.189999999944</v>
      </c>
    </row>
    <row r="34" spans="1:11" s="16" customFormat="1" ht="15" customHeight="1">
      <c r="A34" s="468" t="s">
        <v>97</v>
      </c>
      <c r="B34" s="469"/>
      <c r="C34" s="470"/>
      <c r="D34" s="15">
        <f aca="true" t="shared" si="4" ref="D34:K34">D18+D23+D24+D25+D29</f>
        <v>-133463.6</v>
      </c>
      <c r="E34" s="15">
        <f t="shared" si="4"/>
        <v>1391980.0699999998</v>
      </c>
      <c r="F34" s="15">
        <f t="shared" si="4"/>
        <v>1320742.33</v>
      </c>
      <c r="G34" s="15">
        <f t="shared" si="4"/>
        <v>1377729.9700000002</v>
      </c>
      <c r="H34" s="15">
        <f t="shared" si="4"/>
        <v>-190451.24</v>
      </c>
      <c r="I34" s="15">
        <f t="shared" si="4"/>
        <v>-71237.73999999996</v>
      </c>
      <c r="J34" s="15">
        <f t="shared" si="4"/>
        <v>6.75</v>
      </c>
      <c r="K34" s="15">
        <f t="shared" si="4"/>
        <v>0</v>
      </c>
    </row>
    <row r="35" spans="1:11" s="16" customFormat="1" ht="11.25" customHeight="1">
      <c r="A35" s="17"/>
      <c r="B35" s="17"/>
      <c r="C35" s="17"/>
      <c r="D35" s="18"/>
      <c r="E35" s="18"/>
      <c r="F35" s="18"/>
      <c r="G35" s="18"/>
      <c r="H35" s="18"/>
      <c r="I35" s="18"/>
      <c r="J35" s="18"/>
      <c r="K35" s="18"/>
    </row>
    <row r="36" spans="1:9" ht="23.25" customHeight="1">
      <c r="A36" s="462" t="s">
        <v>44</v>
      </c>
      <c r="B36" s="462"/>
      <c r="C36" s="462"/>
      <c r="D36" s="462"/>
      <c r="E36" s="462"/>
      <c r="F36" s="462"/>
      <c r="G36" s="462"/>
      <c r="H36" s="462"/>
      <c r="I36" s="462"/>
    </row>
    <row r="38" spans="1:7" s="14" customFormat="1" ht="28.5" customHeight="1">
      <c r="A38" s="5" t="s">
        <v>11</v>
      </c>
      <c r="B38" s="471" t="s">
        <v>45</v>
      </c>
      <c r="C38" s="472"/>
      <c r="D38" s="472"/>
      <c r="E38" s="473"/>
      <c r="F38" s="471" t="s">
        <v>46</v>
      </c>
      <c r="G38" s="467"/>
    </row>
    <row r="39" spans="1:7" s="16" customFormat="1" ht="13.5">
      <c r="A39" s="29" t="s">
        <v>47</v>
      </c>
      <c r="B39" s="463" t="s">
        <v>48</v>
      </c>
      <c r="C39" s="464"/>
      <c r="D39" s="464"/>
      <c r="E39" s="465"/>
      <c r="F39" s="466">
        <f>SUM(F40:G43)</f>
        <v>24581.67</v>
      </c>
      <c r="G39" s="467"/>
    </row>
    <row r="40" spans="1:7" ht="15.75" customHeight="1">
      <c r="A40" s="24" t="s">
        <v>16</v>
      </c>
      <c r="B40" s="476" t="s">
        <v>101</v>
      </c>
      <c r="C40" s="477"/>
      <c r="D40" s="477"/>
      <c r="E40" s="478"/>
      <c r="F40" s="479">
        <v>1007.78</v>
      </c>
      <c r="G40" s="479"/>
    </row>
    <row r="41" spans="1:7" ht="15.75" customHeight="1">
      <c r="A41" s="24" t="s">
        <v>18</v>
      </c>
      <c r="B41" s="476" t="s">
        <v>100</v>
      </c>
      <c r="C41" s="477"/>
      <c r="D41" s="477"/>
      <c r="E41" s="478"/>
      <c r="F41" s="479">
        <v>10480.41</v>
      </c>
      <c r="G41" s="479"/>
    </row>
    <row r="42" spans="1:7" ht="15.75" customHeight="1">
      <c r="A42" s="24" t="s">
        <v>20</v>
      </c>
      <c r="B42" s="476" t="s">
        <v>102</v>
      </c>
      <c r="C42" s="477"/>
      <c r="D42" s="477"/>
      <c r="E42" s="478"/>
      <c r="F42" s="479">
        <v>3847.63</v>
      </c>
      <c r="G42" s="479"/>
    </row>
    <row r="43" spans="1:7" ht="15.75" customHeight="1">
      <c r="A43" s="24" t="s">
        <v>22</v>
      </c>
      <c r="B43" s="476" t="s">
        <v>103</v>
      </c>
      <c r="C43" s="477"/>
      <c r="D43" s="477"/>
      <c r="E43" s="478"/>
      <c r="F43" s="479">
        <v>9245.85</v>
      </c>
      <c r="G43" s="479"/>
    </row>
    <row r="44" spans="2:5" ht="12.75">
      <c r="B44" s="9"/>
      <c r="C44" s="9"/>
      <c r="D44" s="9"/>
      <c r="E44" s="9"/>
    </row>
    <row r="45" s="21" customFormat="1" ht="12.75"/>
    <row r="46" spans="1:8" s="21" customFormat="1" ht="12.75">
      <c r="A46" s="21" t="s">
        <v>55</v>
      </c>
      <c r="F46" s="21" t="s">
        <v>49</v>
      </c>
      <c r="H46" s="21" t="s">
        <v>93</v>
      </c>
    </row>
    <row r="47" s="21" customFormat="1" ht="12.75"/>
    <row r="48" s="21" customFormat="1" ht="12.75">
      <c r="F48" s="22" t="s">
        <v>99</v>
      </c>
    </row>
    <row r="49" s="21" customFormat="1" ht="12.75"/>
    <row r="50" s="21" customFormat="1" ht="12.75">
      <c r="A50" s="21" t="s">
        <v>50</v>
      </c>
    </row>
    <row r="51" spans="4:8" s="21" customFormat="1" ht="12.75">
      <c r="D51" s="30" t="s">
        <v>51</v>
      </c>
      <c r="F51" s="30"/>
      <c r="G51" s="30"/>
      <c r="H51" s="30"/>
    </row>
    <row r="52" s="21" customFormat="1" ht="12.75"/>
    <row r="53" s="21" customFormat="1" ht="12.75"/>
  </sheetData>
  <sheetProtection/>
  <mergeCells count="22">
    <mergeCell ref="B40:E40"/>
    <mergeCell ref="F40:G40"/>
    <mergeCell ref="B41:E41"/>
    <mergeCell ref="F41:G41"/>
    <mergeCell ref="B43:E43"/>
    <mergeCell ref="F43:G43"/>
    <mergeCell ref="B42:E42"/>
    <mergeCell ref="F42:G42"/>
    <mergeCell ref="B39:E39"/>
    <mergeCell ref="F39:G39"/>
    <mergeCell ref="A15:I15"/>
    <mergeCell ref="A34:C34"/>
    <mergeCell ref="A36:I36"/>
    <mergeCell ref="B38:E38"/>
    <mergeCell ref="F38:G38"/>
    <mergeCell ref="A27:B27"/>
    <mergeCell ref="A14:I14"/>
    <mergeCell ref="A1:I1"/>
    <mergeCell ref="A2:I2"/>
    <mergeCell ref="A3:I3"/>
    <mergeCell ref="A5:I5"/>
    <mergeCell ref="A13:I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3">
      <selection activeCell="O40" sqref="O40"/>
    </sheetView>
  </sheetViews>
  <sheetFormatPr defaultColWidth="9.140625" defaultRowHeight="15" outlineLevelCol="1"/>
  <cols>
    <col min="1" max="1" width="3.8515625" style="19" customWidth="1"/>
    <col min="2" max="2" width="29.28125" style="19" customWidth="1"/>
    <col min="3" max="3" width="11.421875" style="19" customWidth="1"/>
    <col min="4" max="4" width="13.28125" style="19" customWidth="1"/>
    <col min="5" max="5" width="14.57421875" style="19" customWidth="1"/>
    <col min="6" max="6" width="13.421875" style="19" customWidth="1"/>
    <col min="7" max="7" width="14.00390625" style="19" customWidth="1"/>
    <col min="8" max="8" width="10.140625" style="19" hidden="1" customWidth="1" outlineLevel="1"/>
    <col min="9" max="9" width="10.421875" style="19" hidden="1" customWidth="1" outlineLevel="1"/>
    <col min="10" max="11" width="9.140625" style="19" hidden="1" customWidth="1" outlineLevel="1"/>
    <col min="12" max="12" width="9.140625" style="19" customWidth="1" collapsed="1"/>
    <col min="13" max="16384" width="9.140625" style="19" customWidth="1"/>
  </cols>
  <sheetData>
    <row r="1" spans="1:9" ht="12.75">
      <c r="A1" s="461" t="s">
        <v>0</v>
      </c>
      <c r="B1" s="461"/>
      <c r="C1" s="461"/>
      <c r="D1" s="461"/>
      <c r="E1" s="461"/>
      <c r="F1" s="461"/>
      <c r="G1" s="461"/>
      <c r="H1" s="461"/>
      <c r="I1" s="461"/>
    </row>
    <row r="2" spans="1:9" ht="12.75">
      <c r="A2" s="461" t="s">
        <v>52</v>
      </c>
      <c r="B2" s="461"/>
      <c r="C2" s="461"/>
      <c r="D2" s="461"/>
      <c r="E2" s="461"/>
      <c r="F2" s="461"/>
      <c r="G2" s="461"/>
      <c r="H2" s="461"/>
      <c r="I2" s="461"/>
    </row>
    <row r="3" spans="1:9" ht="12.75">
      <c r="A3" s="461" t="s">
        <v>98</v>
      </c>
      <c r="B3" s="461"/>
      <c r="C3" s="461"/>
      <c r="D3" s="461"/>
      <c r="E3" s="461"/>
      <c r="F3" s="461"/>
      <c r="G3" s="461"/>
      <c r="H3" s="461"/>
      <c r="I3" s="461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462" t="s">
        <v>1</v>
      </c>
      <c r="B5" s="461"/>
      <c r="C5" s="461"/>
      <c r="D5" s="461"/>
      <c r="E5" s="461"/>
      <c r="F5" s="461"/>
      <c r="G5" s="461"/>
      <c r="H5" s="461"/>
      <c r="I5" s="461"/>
    </row>
    <row r="7" spans="1:6" s="21" customFormat="1" ht="12.75">
      <c r="A7" s="21" t="s">
        <v>2</v>
      </c>
      <c r="F7" s="22" t="s">
        <v>53</v>
      </c>
    </row>
    <row r="8" spans="1:6" s="21" customFormat="1" ht="12.75">
      <c r="A8" s="21" t="s">
        <v>3</v>
      </c>
      <c r="F8" s="22" t="s">
        <v>54</v>
      </c>
    </row>
    <row r="9" s="21" customFormat="1" ht="12.75">
      <c r="A9" s="21" t="s">
        <v>4</v>
      </c>
    </row>
    <row r="10" spans="1:6" s="21" customFormat="1" ht="12.75">
      <c r="A10" s="21" t="s">
        <v>5</v>
      </c>
      <c r="F10" s="22" t="s">
        <v>6</v>
      </c>
    </row>
    <row r="11" spans="1:6" s="21" customFormat="1" ht="12.75">
      <c r="A11" s="21" t="s">
        <v>7</v>
      </c>
      <c r="F11" s="22" t="s">
        <v>6</v>
      </c>
    </row>
    <row r="12" s="21" customFormat="1" ht="12.75"/>
    <row r="13" spans="1:9" s="21" customFormat="1" ht="12.75">
      <c r="A13" s="460" t="s">
        <v>8</v>
      </c>
      <c r="B13" s="460"/>
      <c r="C13" s="460"/>
      <c r="D13" s="460"/>
      <c r="E13" s="460"/>
      <c r="F13" s="460"/>
      <c r="G13" s="460"/>
      <c r="H13" s="460"/>
      <c r="I13" s="460"/>
    </row>
    <row r="14" spans="1:9" s="21" customFormat="1" ht="12.75">
      <c r="A14" s="460" t="s">
        <v>9</v>
      </c>
      <c r="B14" s="460"/>
      <c r="C14" s="460"/>
      <c r="D14" s="460"/>
      <c r="E14" s="460"/>
      <c r="F14" s="460"/>
      <c r="G14" s="460"/>
      <c r="H14" s="460"/>
      <c r="I14" s="460"/>
    </row>
    <row r="15" spans="1:9" s="21" customFormat="1" ht="12.75">
      <c r="A15" s="460" t="s">
        <v>10</v>
      </c>
      <c r="B15" s="460"/>
      <c r="C15" s="460"/>
      <c r="D15" s="460"/>
      <c r="E15" s="460"/>
      <c r="F15" s="460"/>
      <c r="G15" s="460"/>
      <c r="H15" s="460"/>
      <c r="I15" s="460"/>
    </row>
    <row r="16" s="21" customFormat="1" ht="12.75"/>
    <row r="17" spans="1:7" s="14" customFormat="1" ht="51">
      <c r="A17" s="5" t="s">
        <v>11</v>
      </c>
      <c r="B17" s="5" t="s">
        <v>12</v>
      </c>
      <c r="C17" s="5" t="s">
        <v>94</v>
      </c>
      <c r="D17" s="5" t="s">
        <v>89</v>
      </c>
      <c r="E17" s="5" t="s">
        <v>90</v>
      </c>
      <c r="F17" s="13" t="s">
        <v>91</v>
      </c>
      <c r="G17" s="5" t="s">
        <v>104</v>
      </c>
    </row>
    <row r="18" spans="1:9" s="21" customFormat="1" ht="25.5">
      <c r="A18" s="23" t="s">
        <v>14</v>
      </c>
      <c r="B18" s="24" t="s">
        <v>15</v>
      </c>
      <c r="C18" s="25">
        <v>6.75</v>
      </c>
      <c r="D18" s="23">
        <v>174103.45</v>
      </c>
      <c r="E18" s="26">
        <v>169317.59</v>
      </c>
      <c r="F18" s="26">
        <f>D18</f>
        <v>174103.45</v>
      </c>
      <c r="G18" s="27">
        <f aca="true" t="shared" si="0" ref="G18:G27">E18-D18</f>
        <v>-4785.860000000015</v>
      </c>
      <c r="H18" s="28">
        <v>6.75</v>
      </c>
      <c r="I18" s="28"/>
    </row>
    <row r="19" spans="1:9" s="21" customFormat="1" ht="25.5">
      <c r="A19" s="23" t="s">
        <v>16</v>
      </c>
      <c r="B19" s="24" t="s">
        <v>17</v>
      </c>
      <c r="C19" s="25">
        <v>2.41</v>
      </c>
      <c r="D19" s="26">
        <f>D18*I19</f>
        <v>62161.37992592593</v>
      </c>
      <c r="E19" s="26">
        <f>E18*I19</f>
        <v>60452.65065185185</v>
      </c>
      <c r="F19" s="26">
        <f>D19</f>
        <v>62161.37992592593</v>
      </c>
      <c r="G19" s="27">
        <f t="shared" si="0"/>
        <v>-1708.7292740740813</v>
      </c>
      <c r="H19" s="28">
        <v>2.41</v>
      </c>
      <c r="I19" s="28">
        <f>H19/H18</f>
        <v>0.35703703703703704</v>
      </c>
    </row>
    <row r="20" spans="1:9" s="21" customFormat="1" ht="25.5">
      <c r="A20" s="23" t="s">
        <v>18</v>
      </c>
      <c r="B20" s="24" t="s">
        <v>19</v>
      </c>
      <c r="C20" s="25">
        <v>1.2</v>
      </c>
      <c r="D20" s="26">
        <f>D18*I20</f>
        <v>30951.724444444448</v>
      </c>
      <c r="E20" s="26">
        <f>E18*I20</f>
        <v>30100.90488888889</v>
      </c>
      <c r="F20" s="26">
        <f>D20</f>
        <v>30951.724444444448</v>
      </c>
      <c r="G20" s="27">
        <f t="shared" si="0"/>
        <v>-850.8195555555576</v>
      </c>
      <c r="H20" s="28">
        <v>1.2</v>
      </c>
      <c r="I20" s="28">
        <f>H20/H18</f>
        <v>0.17777777777777778</v>
      </c>
    </row>
    <row r="21" spans="1:9" s="21" customFormat="1" ht="12.75">
      <c r="A21" s="23" t="s">
        <v>20</v>
      </c>
      <c r="B21" s="24" t="s">
        <v>21</v>
      </c>
      <c r="C21" s="25">
        <v>1.51</v>
      </c>
      <c r="D21" s="26">
        <f>D18*I21</f>
        <v>38947.5865925926</v>
      </c>
      <c r="E21" s="26">
        <f>E18*I21</f>
        <v>37876.971985185184</v>
      </c>
      <c r="F21" s="26">
        <f>D21</f>
        <v>38947.5865925926</v>
      </c>
      <c r="G21" s="27">
        <f t="shared" si="0"/>
        <v>-1070.6146074074131</v>
      </c>
      <c r="H21" s="28">
        <v>1.51</v>
      </c>
      <c r="I21" s="28">
        <f>H21/H18</f>
        <v>0.2237037037037037</v>
      </c>
    </row>
    <row r="22" spans="1:9" s="21" customFormat="1" ht="25.5">
      <c r="A22" s="23" t="s">
        <v>22</v>
      </c>
      <c r="B22" s="24" t="s">
        <v>23</v>
      </c>
      <c r="C22" s="25">
        <v>1.63</v>
      </c>
      <c r="D22" s="26">
        <f>D18*I22</f>
        <v>42042.75903703704</v>
      </c>
      <c r="E22" s="26">
        <f>E18*I22</f>
        <v>40887.06247407407</v>
      </c>
      <c r="F22" s="26">
        <f>D22</f>
        <v>42042.75903703704</v>
      </c>
      <c r="G22" s="27">
        <f t="shared" si="0"/>
        <v>-1155.6965629629703</v>
      </c>
      <c r="H22" s="28">
        <v>1.63</v>
      </c>
      <c r="I22" s="28">
        <f>H22/H18</f>
        <v>0.24148148148148146</v>
      </c>
    </row>
    <row r="23" spans="1:7" ht="12.75">
      <c r="A23" s="24" t="s">
        <v>25</v>
      </c>
      <c r="B23" s="24" t="s">
        <v>26</v>
      </c>
      <c r="C23" s="25">
        <v>3.15</v>
      </c>
      <c r="D23" s="24">
        <v>0</v>
      </c>
      <c r="E23" s="27">
        <v>0</v>
      </c>
      <c r="F23" s="27">
        <v>0</v>
      </c>
      <c r="G23" s="27">
        <f t="shared" si="0"/>
        <v>0</v>
      </c>
    </row>
    <row r="24" spans="1:7" ht="12.75">
      <c r="A24" s="24" t="s">
        <v>27</v>
      </c>
      <c r="B24" s="24" t="s">
        <v>28</v>
      </c>
      <c r="C24" s="12">
        <v>2.6</v>
      </c>
      <c r="D24" s="24">
        <v>59389.92</v>
      </c>
      <c r="E24" s="27">
        <v>57568.62</v>
      </c>
      <c r="F24" s="27">
        <f>D24</f>
        <v>59389.92</v>
      </c>
      <c r="G24" s="27">
        <f t="shared" si="0"/>
        <v>-1821.2999999999956</v>
      </c>
    </row>
    <row r="25" spans="1:7" ht="12.75">
      <c r="A25" s="24" t="s">
        <v>29</v>
      </c>
      <c r="B25" s="24" t="s">
        <v>30</v>
      </c>
      <c r="C25" s="25">
        <v>0.81</v>
      </c>
      <c r="D25" s="24">
        <v>0</v>
      </c>
      <c r="E25" s="24">
        <v>0</v>
      </c>
      <c r="F25" s="24">
        <v>0</v>
      </c>
      <c r="G25" s="24">
        <f t="shared" si="0"/>
        <v>0</v>
      </c>
    </row>
    <row r="26" spans="1:7" ht="25.5">
      <c r="A26" s="24" t="s">
        <v>31</v>
      </c>
      <c r="B26" s="24" t="s">
        <v>32</v>
      </c>
      <c r="C26" s="25">
        <v>1.61</v>
      </c>
      <c r="D26" s="24">
        <v>65703.01</v>
      </c>
      <c r="E26" s="24">
        <v>65330.4</v>
      </c>
      <c r="F26" s="24">
        <v>24581.67</v>
      </c>
      <c r="G26" s="24">
        <f t="shared" si="0"/>
        <v>-372.6099999999933</v>
      </c>
    </row>
    <row r="27" spans="1:7" ht="25.5">
      <c r="A27" s="24" t="s">
        <v>33</v>
      </c>
      <c r="B27" s="24" t="s">
        <v>34</v>
      </c>
      <c r="C27" s="25">
        <v>0</v>
      </c>
      <c r="D27" s="24">
        <v>0</v>
      </c>
      <c r="E27" s="24">
        <v>42.57</v>
      </c>
      <c r="F27" s="24">
        <v>0</v>
      </c>
      <c r="G27" s="24">
        <f t="shared" si="0"/>
        <v>42.57</v>
      </c>
    </row>
    <row r="28" spans="1:7" ht="25.5">
      <c r="A28" s="24" t="s">
        <v>35</v>
      </c>
      <c r="B28" s="24" t="s">
        <v>36</v>
      </c>
      <c r="C28" s="25">
        <f>SUM(C29:C32)</f>
        <v>1680.9299999999998</v>
      </c>
      <c r="D28" s="24">
        <f>SUM(D29:D32)</f>
        <v>1158486.7</v>
      </c>
      <c r="E28" s="24">
        <f>SUM(E29:E32)</f>
        <v>1093856.12</v>
      </c>
      <c r="F28" s="24">
        <f>SUM(F29:F32)</f>
        <v>1144236.6</v>
      </c>
      <c r="G28" s="24">
        <f>SUM(G29:G32)</f>
        <v>-64630.57999999995</v>
      </c>
    </row>
    <row r="29" spans="1:7" ht="12.75">
      <c r="A29" s="24" t="s">
        <v>37</v>
      </c>
      <c r="B29" s="24" t="s">
        <v>96</v>
      </c>
      <c r="C29" s="12">
        <v>3.13</v>
      </c>
      <c r="D29" s="24">
        <v>14250.1</v>
      </c>
      <c r="E29" s="24">
        <v>16846.06</v>
      </c>
      <c r="F29" s="24"/>
      <c r="G29" s="24">
        <f>E29-D29</f>
        <v>2595.960000000001</v>
      </c>
    </row>
    <row r="30" spans="1:7" ht="12.75">
      <c r="A30" s="24" t="s">
        <v>39</v>
      </c>
      <c r="B30" s="24" t="s">
        <v>38</v>
      </c>
      <c r="C30" s="12">
        <v>18.21</v>
      </c>
      <c r="D30" s="24">
        <v>202200.89</v>
      </c>
      <c r="E30" s="24">
        <v>195379.97</v>
      </c>
      <c r="F30" s="24">
        <f>D30</f>
        <v>202200.89</v>
      </c>
      <c r="G30" s="24">
        <f>E30-D30</f>
        <v>-6820.920000000013</v>
      </c>
    </row>
    <row r="31" spans="1:7" ht="12.75">
      <c r="A31" s="24" t="s">
        <v>42</v>
      </c>
      <c r="B31" s="24" t="s">
        <v>40</v>
      </c>
      <c r="C31" s="12">
        <v>115.3</v>
      </c>
      <c r="D31" s="24">
        <v>350895.14</v>
      </c>
      <c r="E31" s="24">
        <v>322914.71</v>
      </c>
      <c r="F31" s="24">
        <f>D31</f>
        <v>350895.14</v>
      </c>
      <c r="G31" s="24">
        <f>E31-D31</f>
        <v>-27980.429999999993</v>
      </c>
    </row>
    <row r="32" spans="1:7" ht="12.75">
      <c r="A32" s="24" t="s">
        <v>41</v>
      </c>
      <c r="B32" s="24" t="s">
        <v>43</v>
      </c>
      <c r="C32" s="12">
        <v>1544.29</v>
      </c>
      <c r="D32" s="24">
        <v>591140.57</v>
      </c>
      <c r="E32" s="24">
        <v>558715.38</v>
      </c>
      <c r="F32" s="24">
        <f>D32</f>
        <v>591140.57</v>
      </c>
      <c r="G32" s="24">
        <f>E32-D32</f>
        <v>-32425.189999999944</v>
      </c>
    </row>
    <row r="33" spans="1:9" s="16" customFormat="1" ht="15" customHeight="1">
      <c r="A33" s="468" t="s">
        <v>97</v>
      </c>
      <c r="B33" s="469"/>
      <c r="C33" s="470"/>
      <c r="D33" s="15">
        <f aca="true" t="shared" si="1" ref="D33:I33">D18+D23+D24+D25+D28</f>
        <v>1391980.0699999998</v>
      </c>
      <c r="E33" s="15">
        <f t="shared" si="1"/>
        <v>1320742.33</v>
      </c>
      <c r="F33" s="15">
        <f t="shared" si="1"/>
        <v>1377729.9700000002</v>
      </c>
      <c r="G33" s="15">
        <f t="shared" si="1"/>
        <v>-71237.73999999996</v>
      </c>
      <c r="H33" s="15">
        <f t="shared" si="1"/>
        <v>6.75</v>
      </c>
      <c r="I33" s="15">
        <f t="shared" si="1"/>
        <v>0</v>
      </c>
    </row>
    <row r="34" spans="1:11" s="16" customFormat="1" ht="9.75" customHeight="1">
      <c r="A34" s="17"/>
      <c r="B34" s="17"/>
      <c r="C34" s="17"/>
      <c r="D34" s="18"/>
      <c r="E34" s="18"/>
      <c r="F34" s="18"/>
      <c r="G34" s="18"/>
      <c r="H34" s="18"/>
      <c r="I34" s="18"/>
      <c r="J34" s="18"/>
      <c r="K34" s="18"/>
    </row>
    <row r="35" spans="1:9" ht="23.25" customHeight="1">
      <c r="A35" s="462" t="s">
        <v>44</v>
      </c>
      <c r="B35" s="462"/>
      <c r="C35" s="462"/>
      <c r="D35" s="462"/>
      <c r="E35" s="462"/>
      <c r="F35" s="462"/>
      <c r="G35" s="462"/>
      <c r="H35" s="462"/>
      <c r="I35" s="462"/>
    </row>
    <row r="37" spans="1:7" s="14" customFormat="1" ht="28.5" customHeight="1">
      <c r="A37" s="5" t="s">
        <v>11</v>
      </c>
      <c r="B37" s="471" t="s">
        <v>45</v>
      </c>
      <c r="C37" s="472"/>
      <c r="D37" s="472"/>
      <c r="E37" s="473"/>
      <c r="F37" s="471" t="s">
        <v>46</v>
      </c>
      <c r="G37" s="467"/>
    </row>
    <row r="38" spans="1:7" s="16" customFormat="1" ht="13.5">
      <c r="A38" s="29" t="s">
        <v>47</v>
      </c>
      <c r="B38" s="463" t="s">
        <v>48</v>
      </c>
      <c r="C38" s="464"/>
      <c r="D38" s="464"/>
      <c r="E38" s="465"/>
      <c r="F38" s="466">
        <f>SUM(F39:G42)</f>
        <v>24581.67</v>
      </c>
      <c r="G38" s="467"/>
    </row>
    <row r="39" spans="1:7" ht="15.75" customHeight="1">
      <c r="A39" s="24" t="s">
        <v>16</v>
      </c>
      <c r="B39" s="476" t="s">
        <v>101</v>
      </c>
      <c r="C39" s="477"/>
      <c r="D39" s="477"/>
      <c r="E39" s="478"/>
      <c r="F39" s="479">
        <v>1007.78</v>
      </c>
      <c r="G39" s="479"/>
    </row>
    <row r="40" spans="1:7" ht="15.75" customHeight="1">
      <c r="A40" s="24" t="s">
        <v>18</v>
      </c>
      <c r="B40" s="476" t="s">
        <v>100</v>
      </c>
      <c r="C40" s="477"/>
      <c r="D40" s="477"/>
      <c r="E40" s="478"/>
      <c r="F40" s="479">
        <v>10480.41</v>
      </c>
      <c r="G40" s="479"/>
    </row>
    <row r="41" spans="1:7" ht="15.75" customHeight="1">
      <c r="A41" s="24" t="s">
        <v>20</v>
      </c>
      <c r="B41" s="476" t="s">
        <v>102</v>
      </c>
      <c r="C41" s="477"/>
      <c r="D41" s="477"/>
      <c r="E41" s="478"/>
      <c r="F41" s="479">
        <v>3847.63</v>
      </c>
      <c r="G41" s="479"/>
    </row>
    <row r="42" spans="1:7" ht="15.75" customHeight="1">
      <c r="A42" s="24" t="s">
        <v>22</v>
      </c>
      <c r="B42" s="476" t="s">
        <v>103</v>
      </c>
      <c r="C42" s="477"/>
      <c r="D42" s="477"/>
      <c r="E42" s="478"/>
      <c r="F42" s="479">
        <v>9245.85</v>
      </c>
      <c r="G42" s="479"/>
    </row>
    <row r="43" spans="2:5" ht="12.75">
      <c r="B43" s="9"/>
      <c r="C43" s="9"/>
      <c r="D43" s="9"/>
      <c r="E43" s="9"/>
    </row>
    <row r="44" spans="1:7" s="21" customFormat="1" ht="12.75">
      <c r="A44" s="21" t="s">
        <v>55</v>
      </c>
      <c r="E44" s="21" t="s">
        <v>49</v>
      </c>
      <c r="G44" s="21" t="s">
        <v>93</v>
      </c>
    </row>
    <row r="45" s="21" customFormat="1" ht="12.75"/>
    <row r="46" s="21" customFormat="1" ht="12.75">
      <c r="E46" s="22" t="s">
        <v>99</v>
      </c>
    </row>
    <row r="47" s="21" customFormat="1" ht="12.75">
      <c r="A47" s="21" t="s">
        <v>50</v>
      </c>
    </row>
    <row r="48" spans="3:8" s="21" customFormat="1" ht="12.75">
      <c r="C48" s="30" t="s">
        <v>51</v>
      </c>
      <c r="F48" s="30"/>
      <c r="G48" s="30"/>
      <c r="H48" s="30"/>
    </row>
    <row r="49" s="21" customFormat="1" ht="12.75"/>
    <row r="50" s="21" customFormat="1" ht="12.75"/>
  </sheetData>
  <sheetProtection/>
  <mergeCells count="21">
    <mergeCell ref="A1:I1"/>
    <mergeCell ref="A2:I2"/>
    <mergeCell ref="A3:I3"/>
    <mergeCell ref="A5:I5"/>
    <mergeCell ref="B37:E37"/>
    <mergeCell ref="A13:I13"/>
    <mergeCell ref="F38:G38"/>
    <mergeCell ref="A33:C33"/>
    <mergeCell ref="F37:G37"/>
    <mergeCell ref="A14:I14"/>
    <mergeCell ref="B38:E38"/>
    <mergeCell ref="A15:I15"/>
    <mergeCell ref="A35:I35"/>
    <mergeCell ref="B42:E42"/>
    <mergeCell ref="F42:G42"/>
    <mergeCell ref="B39:E39"/>
    <mergeCell ref="F39:G39"/>
    <mergeCell ref="B40:E40"/>
    <mergeCell ref="B41:E41"/>
    <mergeCell ref="F40:G40"/>
    <mergeCell ref="F41:G4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O65"/>
  <sheetViews>
    <sheetView zoomScalePageLayoutView="0" workbookViewId="0" topLeftCell="A29">
      <selection activeCell="G38" sqref="G38"/>
    </sheetView>
  </sheetViews>
  <sheetFormatPr defaultColWidth="9.140625" defaultRowHeight="15" outlineLevelCol="1"/>
  <cols>
    <col min="1" max="1" width="5.8515625" style="35" customWidth="1"/>
    <col min="2" max="2" width="48.140625" style="35" customWidth="1"/>
    <col min="3" max="3" width="14.57421875" style="35" customWidth="1"/>
    <col min="4" max="5" width="13.140625" style="35" customWidth="1"/>
    <col min="6" max="6" width="13.00390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1.28125" style="35" bestFit="1" customWidth="1" collapsed="1"/>
    <col min="14" max="14" width="11.421875" style="35" bestFit="1" customWidth="1"/>
    <col min="15" max="15" width="12.00390625" style="35" bestFit="1" customWidth="1"/>
    <col min="16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.7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7.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.7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2.25" customHeight="1"/>
    <row r="7" spans="1:6" s="67" customFormat="1" ht="16.5" customHeight="1">
      <c r="A7" s="67" t="s">
        <v>2</v>
      </c>
      <c r="F7" s="128" t="s">
        <v>108</v>
      </c>
    </row>
    <row r="8" spans="1:11" s="67" customFormat="1" ht="15">
      <c r="A8" s="67" t="s">
        <v>3</v>
      </c>
      <c r="F8" s="299" t="s">
        <v>416</v>
      </c>
      <c r="I8" s="204">
        <f>62.3+64+50.3</f>
        <v>176.6</v>
      </c>
      <c r="J8" s="204">
        <v>3633.7</v>
      </c>
      <c r="K8" s="204">
        <f>I8+J8</f>
        <v>3810.2999999999997</v>
      </c>
    </row>
    <row r="9" s="67" customFormat="1" ht="3.75" customHeight="1"/>
    <row r="10" spans="1:9" s="67" customFormat="1" ht="12.75" customHeight="1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2.75" customHeight="1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2.75" customHeight="1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'[1]Ленина 68,8'!$G$38</f>
        <v>-3318.67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'[1]Ленина 68,8'!$G$39</f>
        <v>-96187.99830000002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15" s="169" customFormat="1" ht="14.25">
      <c r="A18" s="75" t="s">
        <v>14</v>
      </c>
      <c r="B18" s="41" t="s">
        <v>15</v>
      </c>
      <c r="C18" s="137">
        <f>C19+C20+C21+C22</f>
        <v>10.34</v>
      </c>
      <c r="D18" s="76">
        <v>525905.5</v>
      </c>
      <c r="E18" s="76">
        <v>455721.89</v>
      </c>
      <c r="F18" s="76">
        <f aca="true" t="shared" si="0" ref="F18:F25">D18</f>
        <v>525905.5</v>
      </c>
      <c r="G18" s="77">
        <f>D18-E18</f>
        <v>70183.60999999999</v>
      </c>
      <c r="H18" s="78">
        <f>C18</f>
        <v>10.34</v>
      </c>
      <c r="N18" s="168"/>
      <c r="O18" s="168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175979.98355899422</v>
      </c>
      <c r="E19" s="83">
        <f>E18*I19</f>
        <v>152494.94578336558</v>
      </c>
      <c r="F19" s="83">
        <f t="shared" si="0"/>
        <v>175979.98355899422</v>
      </c>
      <c r="G19" s="84">
        <f>D19-E19</f>
        <v>23485.037775628647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85955.5411025145</v>
      </c>
      <c r="E20" s="83">
        <f>E18*I20</f>
        <v>74484.52554158607</v>
      </c>
      <c r="F20" s="83">
        <f t="shared" si="0"/>
        <v>85955.5411025145</v>
      </c>
      <c r="G20" s="84">
        <f>D20-E20</f>
        <v>11471.015560928427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109351.72388781431</v>
      </c>
      <c r="E21" s="83">
        <f>E18*I21</f>
        <v>94758.42006769826</v>
      </c>
      <c r="F21" s="83">
        <f t="shared" si="0"/>
        <v>109351.72388781431</v>
      </c>
      <c r="G21" s="84">
        <f>D21-E21</f>
        <v>14593.303820116053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154618.251450677</v>
      </c>
      <c r="E22" s="83">
        <f>E18*I22</f>
        <v>133983.9986073501</v>
      </c>
      <c r="F22" s="83">
        <f t="shared" si="0"/>
        <v>154618.251450677</v>
      </c>
      <c r="G22" s="84">
        <f>D22-E22</f>
        <v>20634.25284332689</v>
      </c>
      <c r="H22" s="78">
        <f>C22</f>
        <v>3.04</v>
      </c>
      <c r="I22" s="67">
        <f>H22/H18</f>
        <v>0.2940038684719536</v>
      </c>
    </row>
    <row r="23" spans="1:7" s="39" customFormat="1" ht="14.25">
      <c r="A23" s="41" t="s">
        <v>25</v>
      </c>
      <c r="B23" s="41" t="s">
        <v>26</v>
      </c>
      <c r="C23" s="143">
        <v>3.72</v>
      </c>
      <c r="D23" s="77">
        <v>190622.71</v>
      </c>
      <c r="E23" s="77">
        <v>170123.54</v>
      </c>
      <c r="F23" s="76">
        <f t="shared" si="0"/>
        <v>190622.71</v>
      </c>
      <c r="G23" s="77">
        <f aca="true" t="shared" si="1" ref="G23:G33">D23-E23</f>
        <v>20499.169999999984</v>
      </c>
    </row>
    <row r="24" spans="1:7" s="39" customFormat="1" ht="14.25">
      <c r="A24" s="41" t="s">
        <v>27</v>
      </c>
      <c r="B24" s="41" t="s">
        <v>28</v>
      </c>
      <c r="C24" s="143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s="39" customFormat="1" ht="14.25">
      <c r="A25" s="41" t="s">
        <v>29</v>
      </c>
      <c r="B25" s="41" t="s">
        <v>30</v>
      </c>
      <c r="C25" s="143">
        <v>1.12</v>
      </c>
      <c r="D25" s="77">
        <v>55330.11</v>
      </c>
      <c r="E25" s="77">
        <v>49373.39</v>
      </c>
      <c r="F25" s="77">
        <f t="shared" si="0"/>
        <v>55330.11</v>
      </c>
      <c r="G25" s="77">
        <f t="shared" si="1"/>
        <v>5956.720000000001</v>
      </c>
    </row>
    <row r="26" spans="1:13" s="39" customFormat="1" ht="14.25">
      <c r="A26" s="41" t="s">
        <v>31</v>
      </c>
      <c r="B26" s="41" t="s">
        <v>316</v>
      </c>
      <c r="C26" s="143">
        <v>2.06</v>
      </c>
      <c r="D26" s="77">
        <v>101808.95</v>
      </c>
      <c r="E26" s="77">
        <v>90867.96</v>
      </c>
      <c r="F26" s="87">
        <f>F44</f>
        <v>79346.16960000001</v>
      </c>
      <c r="G26" s="77">
        <f t="shared" si="1"/>
        <v>10940.98999999999</v>
      </c>
      <c r="M26" s="184"/>
    </row>
    <row r="27" spans="1:13" s="39" customFormat="1" ht="14.25">
      <c r="A27" s="217" t="s">
        <v>206</v>
      </c>
      <c r="B27" s="86" t="s">
        <v>168</v>
      </c>
      <c r="C27" s="137" t="s">
        <v>395</v>
      </c>
      <c r="D27" s="77"/>
      <c r="E27" s="77"/>
      <c r="F27" s="87">
        <f>D27</f>
        <v>0</v>
      </c>
      <c r="G27" s="77">
        <f t="shared" si="1"/>
        <v>0</v>
      </c>
      <c r="M27" s="184"/>
    </row>
    <row r="28" spans="1:7" s="39" customFormat="1" ht="14.25">
      <c r="A28" s="41" t="s">
        <v>35</v>
      </c>
      <c r="B28" s="86" t="s">
        <v>315</v>
      </c>
      <c r="C28" s="205"/>
      <c r="D28" s="77"/>
      <c r="E28" s="77">
        <v>230.39</v>
      </c>
      <c r="F28" s="90">
        <v>0</v>
      </c>
      <c r="G28" s="77">
        <f t="shared" si="1"/>
        <v>-230.39</v>
      </c>
    </row>
    <row r="29" spans="1:7" s="39" customFormat="1" ht="14.25">
      <c r="A29" s="217" t="s">
        <v>211</v>
      </c>
      <c r="B29" s="41" t="s">
        <v>36</v>
      </c>
      <c r="C29" s="137"/>
      <c r="D29" s="77">
        <f>SUM(D30:D33)</f>
        <v>1689843.73</v>
      </c>
      <c r="E29" s="77">
        <f>SUM(E30:E33)</f>
        <v>1690878.83</v>
      </c>
      <c r="F29" s="77">
        <f>SUM(F30:F33)</f>
        <v>1689843.73</v>
      </c>
      <c r="G29" s="77">
        <f t="shared" si="1"/>
        <v>-1035.1000000000931</v>
      </c>
    </row>
    <row r="30" spans="1:7" ht="15">
      <c r="A30" s="218" t="s">
        <v>213</v>
      </c>
      <c r="B30" s="34" t="s">
        <v>96</v>
      </c>
      <c r="C30" s="293" t="s">
        <v>379</v>
      </c>
      <c r="D30" s="84">
        <v>16581.7</v>
      </c>
      <c r="E30" s="84">
        <v>14138.23</v>
      </c>
      <c r="F30" s="84">
        <f>D30</f>
        <v>16581.7</v>
      </c>
      <c r="G30" s="84">
        <f t="shared" si="1"/>
        <v>2443.470000000001</v>
      </c>
    </row>
    <row r="31" spans="1:7" ht="15">
      <c r="A31" s="218" t="s">
        <v>214</v>
      </c>
      <c r="B31" s="34" t="s">
        <v>142</v>
      </c>
      <c r="C31" s="293" t="s">
        <v>382</v>
      </c>
      <c r="D31" s="84">
        <v>290315.03</v>
      </c>
      <c r="E31" s="84">
        <v>295672.57</v>
      </c>
      <c r="F31" s="84">
        <f>D31</f>
        <v>290315.03</v>
      </c>
      <c r="G31" s="84">
        <f t="shared" si="1"/>
        <v>-5357.539999999979</v>
      </c>
    </row>
    <row r="32" spans="1:7" ht="15">
      <c r="A32" s="218" t="s">
        <v>215</v>
      </c>
      <c r="B32" s="34" t="s">
        <v>143</v>
      </c>
      <c r="C32" s="294" t="s">
        <v>381</v>
      </c>
      <c r="D32" s="84">
        <v>394562.1</v>
      </c>
      <c r="E32" s="84">
        <v>393516.71</v>
      </c>
      <c r="F32" s="84">
        <f>D32</f>
        <v>394562.1</v>
      </c>
      <c r="G32" s="84">
        <f t="shared" si="1"/>
        <v>1045.3899999999558</v>
      </c>
    </row>
    <row r="33" spans="1:7" ht="15">
      <c r="A33" s="218" t="s">
        <v>216</v>
      </c>
      <c r="B33" s="34" t="s">
        <v>43</v>
      </c>
      <c r="C33" s="293" t="s">
        <v>380</v>
      </c>
      <c r="D33" s="84">
        <v>988384.9</v>
      </c>
      <c r="E33" s="84">
        <v>987551.32</v>
      </c>
      <c r="F33" s="84">
        <f>D33</f>
        <v>988384.9</v>
      </c>
      <c r="G33" s="84">
        <f t="shared" si="1"/>
        <v>833.5800000000745</v>
      </c>
    </row>
    <row r="34" spans="1:10" s="102" customFormat="1" ht="3.75" customHeight="1">
      <c r="A34" s="104"/>
      <c r="B34" s="104"/>
      <c r="C34" s="104"/>
      <c r="D34" s="101"/>
      <c r="E34" s="101"/>
      <c r="F34" s="101"/>
      <c r="G34" s="101"/>
      <c r="H34" s="101"/>
      <c r="I34" s="101"/>
      <c r="J34" s="101"/>
    </row>
    <row r="35" spans="1:10" s="102" customFormat="1" ht="16.5" customHeight="1" thickBot="1">
      <c r="A35" s="363" t="s">
        <v>378</v>
      </c>
      <c r="B35" s="364"/>
      <c r="C35" s="364"/>
      <c r="D35" s="365"/>
      <c r="E35" s="365"/>
      <c r="F35" s="365"/>
      <c r="G35" s="101"/>
      <c r="H35" s="101"/>
      <c r="I35" s="101"/>
      <c r="J35" s="101"/>
    </row>
    <row r="36" spans="1:9" s="67" customFormat="1" ht="15.75" thickBot="1">
      <c r="A36" s="378" t="s">
        <v>383</v>
      </c>
      <c r="B36" s="379"/>
      <c r="C36" s="379"/>
      <c r="D36" s="65">
        <v>522090.57</v>
      </c>
      <c r="E36" s="66"/>
      <c r="F36" s="66"/>
      <c r="G36" s="66"/>
      <c r="H36" s="62"/>
      <c r="I36" s="62"/>
    </row>
    <row r="37" spans="1:9" s="67" customFormat="1" ht="4.5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9" s="67" customFormat="1" ht="15.75" thickBot="1">
      <c r="A38" s="63" t="s">
        <v>386</v>
      </c>
      <c r="B38" s="64"/>
      <c r="C38" s="64"/>
      <c r="D38" s="69"/>
      <c r="E38" s="70"/>
      <c r="F38" s="70"/>
      <c r="G38" s="146">
        <v>-3318.67</v>
      </c>
      <c r="H38" s="62"/>
      <c r="I38" s="62"/>
    </row>
    <row r="39" spans="1:13" s="67" customFormat="1" ht="15.75" thickBot="1">
      <c r="A39" s="63" t="s">
        <v>387</v>
      </c>
      <c r="B39" s="64"/>
      <c r="C39" s="64"/>
      <c r="D39" s="69"/>
      <c r="E39" s="70"/>
      <c r="F39" s="70"/>
      <c r="G39" s="146">
        <f>G15+E26-F26+E28-F28</f>
        <v>-84435.81790000002</v>
      </c>
      <c r="H39" s="62"/>
      <c r="I39" s="62"/>
      <c r="M39" s="147"/>
    </row>
    <row r="40" spans="1:9" s="67" customFormat="1" ht="15">
      <c r="A40" s="68"/>
      <c r="B40" s="68"/>
      <c r="C40" s="68"/>
      <c r="D40" s="40"/>
      <c r="E40" s="66"/>
      <c r="F40" s="66"/>
      <c r="G40" s="40"/>
      <c r="H40" s="62"/>
      <c r="I40" s="62"/>
    </row>
    <row r="41" spans="1:9" ht="27.75" customHeight="1">
      <c r="A41" s="433" t="s">
        <v>44</v>
      </c>
      <c r="B41" s="433"/>
      <c r="C41" s="433"/>
      <c r="D41" s="433"/>
      <c r="E41" s="433"/>
      <c r="F41" s="433"/>
      <c r="G41" s="433"/>
      <c r="H41" s="433"/>
      <c r="I41" s="433"/>
    </row>
    <row r="42" ht="3" customHeight="1"/>
    <row r="43" spans="1:7" s="173" customFormat="1" ht="28.5" customHeight="1">
      <c r="A43" s="105" t="s">
        <v>11</v>
      </c>
      <c r="B43" s="394" t="s">
        <v>45</v>
      </c>
      <c r="C43" s="405"/>
      <c r="D43" s="105" t="s">
        <v>170</v>
      </c>
      <c r="E43" s="105" t="s">
        <v>169</v>
      </c>
      <c r="F43" s="394" t="s">
        <v>46</v>
      </c>
      <c r="G43" s="405"/>
    </row>
    <row r="44" spans="1:7" s="115" customFormat="1" ht="12.75" customHeight="1">
      <c r="A44" s="109" t="s">
        <v>47</v>
      </c>
      <c r="B44" s="396" t="s">
        <v>114</v>
      </c>
      <c r="C44" s="399"/>
      <c r="D44" s="111"/>
      <c r="E44" s="111"/>
      <c r="F44" s="411">
        <f>SUM(F45:L58)</f>
        <v>79346.16960000001</v>
      </c>
      <c r="G44" s="404"/>
    </row>
    <row r="45" spans="1:7" ht="12.75" customHeight="1">
      <c r="A45" s="34" t="s">
        <v>16</v>
      </c>
      <c r="B45" s="369" t="s">
        <v>576</v>
      </c>
      <c r="C45" s="371"/>
      <c r="D45" s="119" t="s">
        <v>171</v>
      </c>
      <c r="E45" s="119">
        <v>1</v>
      </c>
      <c r="F45" s="420">
        <v>1650</v>
      </c>
      <c r="G45" s="421"/>
    </row>
    <row r="46" spans="1:7" ht="12.75" customHeight="1">
      <c r="A46" s="34" t="s">
        <v>18</v>
      </c>
      <c r="B46" s="369" t="s">
        <v>577</v>
      </c>
      <c r="C46" s="371"/>
      <c r="D46" s="119"/>
      <c r="E46" s="119"/>
      <c r="F46" s="410">
        <v>2300</v>
      </c>
      <c r="G46" s="410"/>
    </row>
    <row r="47" spans="1:7" ht="12.75" customHeight="1">
      <c r="A47" s="34" t="s">
        <v>20</v>
      </c>
      <c r="B47" s="369" t="s">
        <v>578</v>
      </c>
      <c r="C47" s="371"/>
      <c r="D47" s="119" t="s">
        <v>240</v>
      </c>
      <c r="E47" s="122">
        <v>0.04</v>
      </c>
      <c r="F47" s="420">
        <v>6216.24</v>
      </c>
      <c r="G47" s="421"/>
    </row>
    <row r="48" spans="1:7" ht="12.75" customHeight="1">
      <c r="A48" s="34" t="s">
        <v>22</v>
      </c>
      <c r="B48" s="369" t="s">
        <v>532</v>
      </c>
      <c r="C48" s="371"/>
      <c r="D48" s="119" t="s">
        <v>258</v>
      </c>
      <c r="E48" s="119"/>
      <c r="F48" s="420">
        <v>2104.8</v>
      </c>
      <c r="G48" s="421"/>
    </row>
    <row r="49" spans="1:7" ht="12.75" customHeight="1">
      <c r="A49" s="34" t="s">
        <v>24</v>
      </c>
      <c r="B49" s="369" t="s">
        <v>532</v>
      </c>
      <c r="C49" s="371"/>
      <c r="D49" s="119" t="s">
        <v>258</v>
      </c>
      <c r="E49" s="122"/>
      <c r="F49" s="420">
        <v>7607.92</v>
      </c>
      <c r="G49" s="421"/>
    </row>
    <row r="50" spans="1:7" ht="12.75" customHeight="1">
      <c r="A50" s="34" t="s">
        <v>106</v>
      </c>
      <c r="B50" s="369" t="s">
        <v>286</v>
      </c>
      <c r="C50" s="415"/>
      <c r="D50" s="119" t="s">
        <v>241</v>
      </c>
      <c r="E50" s="154">
        <v>0.01</v>
      </c>
      <c r="F50" s="398">
        <v>3781.01</v>
      </c>
      <c r="G50" s="398"/>
    </row>
    <row r="51" spans="1:7" ht="12.75" customHeight="1">
      <c r="A51" s="34" t="s">
        <v>107</v>
      </c>
      <c r="B51" s="117" t="s">
        <v>579</v>
      </c>
      <c r="C51" s="345"/>
      <c r="D51" s="119" t="s">
        <v>240</v>
      </c>
      <c r="E51" s="154">
        <v>0.01</v>
      </c>
      <c r="F51" s="398">
        <v>5159.52</v>
      </c>
      <c r="G51" s="398"/>
    </row>
    <row r="52" spans="1:7" ht="12.75" customHeight="1">
      <c r="A52" s="34" t="s">
        <v>120</v>
      </c>
      <c r="B52" s="117" t="s">
        <v>580</v>
      </c>
      <c r="C52" s="345"/>
      <c r="D52" s="119" t="s">
        <v>581</v>
      </c>
      <c r="E52" s="154" t="s">
        <v>582</v>
      </c>
      <c r="F52" s="398">
        <v>29000</v>
      </c>
      <c r="G52" s="398"/>
    </row>
    <row r="53" spans="1:7" ht="12.75" customHeight="1">
      <c r="A53" s="34" t="s">
        <v>121</v>
      </c>
      <c r="B53" s="117" t="s">
        <v>739</v>
      </c>
      <c r="C53" s="357"/>
      <c r="D53" s="119" t="s">
        <v>248</v>
      </c>
      <c r="E53" s="154">
        <v>1</v>
      </c>
      <c r="F53" s="398">
        <v>3610</v>
      </c>
      <c r="G53" s="398"/>
    </row>
    <row r="54" spans="1:7" ht="12.75" customHeight="1">
      <c r="A54" s="34" t="s">
        <v>122</v>
      </c>
      <c r="B54" s="117" t="s">
        <v>740</v>
      </c>
      <c r="C54" s="357"/>
      <c r="D54" s="119" t="s">
        <v>248</v>
      </c>
      <c r="E54" s="154">
        <v>2</v>
      </c>
      <c r="F54" s="398">
        <v>6600</v>
      </c>
      <c r="G54" s="398"/>
    </row>
    <row r="55" spans="1:7" ht="12.75" customHeight="1">
      <c r="A55" s="34" t="s">
        <v>144</v>
      </c>
      <c r="B55" s="117" t="s">
        <v>741</v>
      </c>
      <c r="C55" s="357"/>
      <c r="D55" s="119" t="s">
        <v>248</v>
      </c>
      <c r="E55" s="154">
        <v>1</v>
      </c>
      <c r="F55" s="398">
        <v>3300</v>
      </c>
      <c r="G55" s="398"/>
    </row>
    <row r="56" spans="1:7" ht="12.75" customHeight="1">
      <c r="A56" s="34" t="s">
        <v>146</v>
      </c>
      <c r="B56" s="408" t="s">
        <v>738</v>
      </c>
      <c r="C56" s="480"/>
      <c r="D56" s="119"/>
      <c r="E56" s="154"/>
      <c r="F56" s="398">
        <v>5208</v>
      </c>
      <c r="G56" s="398"/>
    </row>
    <row r="57" spans="1:7" ht="12.75" customHeight="1">
      <c r="A57" s="34" t="s">
        <v>147</v>
      </c>
      <c r="B57" s="408" t="s">
        <v>803</v>
      </c>
      <c r="C57" s="480"/>
      <c r="D57" s="119"/>
      <c r="E57" s="154"/>
      <c r="F57" s="398">
        <v>1900</v>
      </c>
      <c r="G57" s="398"/>
    </row>
    <row r="58" spans="1:7" ht="12.75" customHeight="1">
      <c r="A58" s="34" t="s">
        <v>320</v>
      </c>
      <c r="B58" s="150" t="s">
        <v>198</v>
      </c>
      <c r="C58" s="151"/>
      <c r="D58" s="119"/>
      <c r="E58" s="119"/>
      <c r="F58" s="410">
        <f>E26*1%</f>
        <v>908.6796</v>
      </c>
      <c r="G58" s="410"/>
    </row>
    <row r="59" spans="1:7" ht="12.75" customHeight="1">
      <c r="A59" s="67"/>
      <c r="B59" s="67"/>
      <c r="C59" s="67"/>
      <c r="D59" s="67"/>
      <c r="E59" s="67"/>
      <c r="F59" s="67"/>
      <c r="G59" s="67"/>
    </row>
    <row r="60" spans="1:7" ht="12.75" customHeight="1">
      <c r="A60" s="67" t="s">
        <v>55</v>
      </c>
      <c r="B60" s="67"/>
      <c r="C60" s="67" t="s">
        <v>49</v>
      </c>
      <c r="D60" s="67"/>
      <c r="E60" s="67"/>
      <c r="F60" s="67" t="s">
        <v>93</v>
      </c>
      <c r="G60" s="67"/>
    </row>
    <row r="61" spans="1:7" ht="12.75" customHeight="1">
      <c r="A61" s="67"/>
      <c r="B61" s="67"/>
      <c r="C61" s="67"/>
      <c r="D61" s="67"/>
      <c r="E61" s="67"/>
      <c r="F61" s="128" t="s">
        <v>516</v>
      </c>
      <c r="G61" s="67"/>
    </row>
    <row r="62" s="67" customFormat="1" ht="15">
      <c r="A62" s="67" t="s">
        <v>50</v>
      </c>
    </row>
    <row r="63" spans="3:7" s="67" customFormat="1" ht="15">
      <c r="C63" s="130" t="s">
        <v>51</v>
      </c>
      <c r="E63" s="130"/>
      <c r="F63" s="130"/>
      <c r="G63" s="130"/>
    </row>
    <row r="64" spans="1:7" ht="15">
      <c r="A64" s="67"/>
      <c r="B64" s="67"/>
      <c r="C64" s="67"/>
      <c r="D64" s="67"/>
      <c r="E64" s="67"/>
      <c r="F64" s="67"/>
      <c r="G64" s="67"/>
    </row>
    <row r="65" spans="1:7" ht="15">
      <c r="A65" s="67"/>
      <c r="B65" s="67"/>
      <c r="C65" s="67"/>
      <c r="D65" s="67"/>
      <c r="E65" s="67"/>
      <c r="F65" s="67"/>
      <c r="G65" s="67"/>
    </row>
  </sheetData>
  <sheetProtection/>
  <mergeCells count="36">
    <mergeCell ref="F52:G52"/>
    <mergeCell ref="F58:G58"/>
    <mergeCell ref="F47:G47"/>
    <mergeCell ref="B46:C46"/>
    <mergeCell ref="B47:C47"/>
    <mergeCell ref="B48:C48"/>
    <mergeCell ref="B49:C49"/>
    <mergeCell ref="B56:C56"/>
    <mergeCell ref="F56:G56"/>
    <mergeCell ref="F55:G55"/>
    <mergeCell ref="A1:I1"/>
    <mergeCell ref="A2:I2"/>
    <mergeCell ref="A5:I5"/>
    <mergeCell ref="A10:I10"/>
    <mergeCell ref="A11:I11"/>
    <mergeCell ref="B50:C50"/>
    <mergeCell ref="A35:F35"/>
    <mergeCell ref="A3:K3"/>
    <mergeCell ref="F43:G43"/>
    <mergeCell ref="F50:G50"/>
    <mergeCell ref="A12:I12"/>
    <mergeCell ref="A41:I41"/>
    <mergeCell ref="A36:C36"/>
    <mergeCell ref="F48:G48"/>
    <mergeCell ref="B45:C45"/>
    <mergeCell ref="B44:C44"/>
    <mergeCell ref="B57:C57"/>
    <mergeCell ref="F57:G57"/>
    <mergeCell ref="F53:G53"/>
    <mergeCell ref="F54:G54"/>
    <mergeCell ref="B43:C43"/>
    <mergeCell ref="F45:G45"/>
    <mergeCell ref="F44:G44"/>
    <mergeCell ref="F46:G46"/>
    <mergeCell ref="F49:G49"/>
    <mergeCell ref="F51:G51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49"/>
  <sheetViews>
    <sheetView tabSelected="1" zoomScalePageLayoutView="0" workbookViewId="0" topLeftCell="A22">
      <selection activeCell="N31" sqref="N31"/>
    </sheetView>
  </sheetViews>
  <sheetFormatPr defaultColWidth="9.140625" defaultRowHeight="15" outlineLevelCol="1"/>
  <cols>
    <col min="1" max="1" width="5.57421875" style="35" customWidth="1"/>
    <col min="2" max="2" width="40.28125" style="35" bestFit="1" customWidth="1"/>
    <col min="3" max="3" width="13.7109375" style="35" customWidth="1"/>
    <col min="4" max="4" width="13.421875" style="35" customWidth="1"/>
    <col min="5" max="5" width="13.00390625" style="35" customWidth="1"/>
    <col min="6" max="6" width="12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6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18.7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6.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7" spans="1:6" s="67" customFormat="1" ht="16.5" customHeight="1">
      <c r="A7" s="67" t="s">
        <v>2</v>
      </c>
      <c r="F7" s="128" t="s">
        <v>123</v>
      </c>
    </row>
    <row r="8" spans="1:9" s="67" customFormat="1" ht="15">
      <c r="A8" s="67" t="s">
        <v>3</v>
      </c>
      <c r="F8" s="128" t="s">
        <v>325</v>
      </c>
      <c r="I8" s="204" t="s">
        <v>324</v>
      </c>
    </row>
    <row r="9" s="67" customFormat="1" ht="15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288">
        <f>'[1] Пионерская 1318 кв.51-64'!$G$36</f>
        <v>0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288">
        <f>'[1] Пионерская 1318 кв.51-64'!$G$37</f>
        <v>5821.447924999999</v>
      </c>
      <c r="H15" s="62"/>
      <c r="I15" s="62"/>
    </row>
    <row r="16" s="67" customFormat="1" ht="8.25" customHeight="1"/>
    <row r="17" spans="1:8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  <c r="H17" s="72"/>
    </row>
    <row r="18" spans="1:8" s="169" customFormat="1" ht="14.25">
      <c r="A18" s="75" t="s">
        <v>14</v>
      </c>
      <c r="B18" s="136" t="s">
        <v>15</v>
      </c>
      <c r="C18" s="137">
        <f>C19+C20+C21+C22</f>
        <v>9.879999999999999</v>
      </c>
      <c r="D18" s="76">
        <v>105256.44</v>
      </c>
      <c r="E18" s="76">
        <v>104891.64</v>
      </c>
      <c r="F18" s="76">
        <f>D18</f>
        <v>105256.44</v>
      </c>
      <c r="G18" s="77">
        <f>D18-E18</f>
        <v>364.8000000000029</v>
      </c>
      <c r="H18" s="168">
        <f>C18</f>
        <v>9.879999999999999</v>
      </c>
    </row>
    <row r="19" spans="1:9" s="67" customFormat="1" ht="15">
      <c r="A19" s="81" t="s">
        <v>16</v>
      </c>
      <c r="B19" s="141" t="s">
        <v>17</v>
      </c>
      <c r="C19" s="99">
        <v>3.46</v>
      </c>
      <c r="D19" s="83">
        <f>D18*I19</f>
        <v>36861.06097165992</v>
      </c>
      <c r="E19" s="83">
        <f>E18*I19</f>
        <v>36733.30712550608</v>
      </c>
      <c r="F19" s="83">
        <f>D19</f>
        <v>36861.06097165992</v>
      </c>
      <c r="G19" s="84">
        <f aca="true" t="shared" si="0" ref="G19:G31">D19-E19</f>
        <v>127.75384615384246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141" t="s">
        <v>19</v>
      </c>
      <c r="C20" s="99">
        <v>1.69</v>
      </c>
      <c r="D20" s="83">
        <f>D18*I20</f>
        <v>18004.39105263158</v>
      </c>
      <c r="E20" s="83">
        <f>E18*I20</f>
        <v>17941.99105263158</v>
      </c>
      <c r="F20" s="83">
        <f>D20</f>
        <v>18004.39105263158</v>
      </c>
      <c r="G20" s="84">
        <f t="shared" si="0"/>
        <v>62.400000000001455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141" t="s">
        <v>21</v>
      </c>
      <c r="C21" s="99">
        <v>1.69</v>
      </c>
      <c r="D21" s="83">
        <f>D18*I21</f>
        <v>18004.39105263158</v>
      </c>
      <c r="E21" s="83">
        <f>E18*I21</f>
        <v>17941.99105263158</v>
      </c>
      <c r="F21" s="83">
        <f>D21</f>
        <v>18004.39105263158</v>
      </c>
      <c r="G21" s="84">
        <f t="shared" si="0"/>
        <v>62.400000000001455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141" t="s">
        <v>23</v>
      </c>
      <c r="C22" s="99">
        <v>3.04</v>
      </c>
      <c r="D22" s="83">
        <f>D18*I22</f>
        <v>32386.596923076926</v>
      </c>
      <c r="E22" s="83">
        <f>E18*I22</f>
        <v>32274.350769230772</v>
      </c>
      <c r="F22" s="83">
        <f>D22</f>
        <v>32386.596923076926</v>
      </c>
      <c r="G22" s="84">
        <f t="shared" si="0"/>
        <v>112.2461538461539</v>
      </c>
      <c r="H22" s="147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2" t="s">
        <v>28</v>
      </c>
      <c r="C23" s="143">
        <v>0</v>
      </c>
      <c r="D23" s="77">
        <v>0</v>
      </c>
      <c r="E23" s="77">
        <v>0</v>
      </c>
      <c r="F23" s="77">
        <v>0</v>
      </c>
      <c r="G23" s="77">
        <f t="shared" si="0"/>
        <v>0</v>
      </c>
    </row>
    <row r="24" spans="1:7" s="39" customFormat="1" ht="14.25">
      <c r="A24" s="41" t="s">
        <v>27</v>
      </c>
      <c r="B24" s="142" t="s">
        <v>168</v>
      </c>
      <c r="C24" s="143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s="39" customFormat="1" ht="14.25">
      <c r="A25" s="41" t="s">
        <v>29</v>
      </c>
      <c r="B25" s="142" t="s">
        <v>119</v>
      </c>
      <c r="C25" s="143">
        <v>1.86</v>
      </c>
      <c r="D25" s="77">
        <v>19836.64</v>
      </c>
      <c r="E25" s="77">
        <v>19769.74</v>
      </c>
      <c r="F25" s="87">
        <f>F41</f>
        <v>37386.3874</v>
      </c>
      <c r="G25" s="77">
        <f t="shared" si="0"/>
        <v>66.89999999999782</v>
      </c>
    </row>
    <row r="26" spans="1:7" s="39" customFormat="1" ht="14.25">
      <c r="A26" s="41" t="s">
        <v>205</v>
      </c>
      <c r="B26" s="136" t="s">
        <v>34</v>
      </c>
      <c r="C26" s="137">
        <v>0</v>
      </c>
      <c r="D26" s="77">
        <v>0</v>
      </c>
      <c r="E26" s="77">
        <v>0</v>
      </c>
      <c r="F26" s="87">
        <f>D26</f>
        <v>0</v>
      </c>
      <c r="G26" s="77">
        <f t="shared" si="0"/>
        <v>0</v>
      </c>
    </row>
    <row r="27" spans="1:7" s="39" customFormat="1" ht="14.25">
      <c r="A27" s="41" t="s">
        <v>206</v>
      </c>
      <c r="B27" s="136" t="s">
        <v>36</v>
      </c>
      <c r="C27" s="137"/>
      <c r="D27" s="77">
        <f>SUM(D28:D31)</f>
        <v>412376.75</v>
      </c>
      <c r="E27" s="77">
        <f>SUM(E28:E31)</f>
        <v>413800.26999999996</v>
      </c>
      <c r="F27" s="77">
        <f>SUM(F28:F31)</f>
        <v>412376.75</v>
      </c>
      <c r="G27" s="77">
        <f t="shared" si="0"/>
        <v>-1423.5199999999604</v>
      </c>
    </row>
    <row r="28" spans="1:7" ht="15">
      <c r="A28" s="34" t="s">
        <v>207</v>
      </c>
      <c r="B28" s="34" t="s">
        <v>172</v>
      </c>
      <c r="C28" s="293" t="s">
        <v>379</v>
      </c>
      <c r="D28" s="295">
        <v>14484.72</v>
      </c>
      <c r="E28" s="295">
        <v>15084.01</v>
      </c>
      <c r="F28" s="297">
        <f>D28</f>
        <v>14484.72</v>
      </c>
      <c r="G28" s="84">
        <f t="shared" si="0"/>
        <v>-599.2900000000009</v>
      </c>
    </row>
    <row r="29" spans="1:7" ht="15">
      <c r="A29" s="34" t="s">
        <v>208</v>
      </c>
      <c r="B29" s="34" t="s">
        <v>142</v>
      </c>
      <c r="C29" s="293" t="s">
        <v>382</v>
      </c>
      <c r="D29" s="295">
        <v>70021.86</v>
      </c>
      <c r="E29" s="295">
        <v>70370.6</v>
      </c>
      <c r="F29" s="297">
        <f>D29</f>
        <v>70021.86</v>
      </c>
      <c r="G29" s="84">
        <f t="shared" si="0"/>
        <v>-348.74000000000524</v>
      </c>
    </row>
    <row r="30" spans="1:7" ht="15">
      <c r="A30" s="34" t="s">
        <v>209</v>
      </c>
      <c r="B30" s="34" t="s">
        <v>40</v>
      </c>
      <c r="C30" s="145">
        <v>0</v>
      </c>
      <c r="D30" s="295">
        <v>0</v>
      </c>
      <c r="E30" s="295">
        <v>0</v>
      </c>
      <c r="F30" s="297">
        <f>D30</f>
        <v>0</v>
      </c>
      <c r="G30" s="84">
        <f t="shared" si="0"/>
        <v>0</v>
      </c>
    </row>
    <row r="31" spans="1:7" ht="15">
      <c r="A31" s="34" t="s">
        <v>210</v>
      </c>
      <c r="B31" s="34" t="s">
        <v>43</v>
      </c>
      <c r="C31" s="293" t="s">
        <v>380</v>
      </c>
      <c r="D31" s="295">
        <v>327870.17</v>
      </c>
      <c r="E31" s="295">
        <v>328345.66</v>
      </c>
      <c r="F31" s="297">
        <f>D31</f>
        <v>327870.17</v>
      </c>
      <c r="G31" s="84">
        <f t="shared" si="0"/>
        <v>-475.4899999999907</v>
      </c>
    </row>
    <row r="32" spans="1:7" ht="15.75" thickBot="1">
      <c r="A32" s="41" t="s">
        <v>35</v>
      </c>
      <c r="B32" s="344" t="s">
        <v>346</v>
      </c>
      <c r="C32" s="99"/>
      <c r="D32" s="295">
        <v>3806</v>
      </c>
      <c r="E32" s="295">
        <v>3806</v>
      </c>
      <c r="F32" s="297">
        <v>0</v>
      </c>
      <c r="G32" s="295">
        <f>D32-E32</f>
        <v>0</v>
      </c>
    </row>
    <row r="33" spans="1:9" s="67" customFormat="1" ht="15.75" thickBot="1">
      <c r="A33" s="378" t="s">
        <v>383</v>
      </c>
      <c r="B33" s="379"/>
      <c r="C33" s="379"/>
      <c r="D33" s="65">
        <v>83815.95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386</v>
      </c>
      <c r="B35" s="64"/>
      <c r="C35" s="64"/>
      <c r="D35" s="69"/>
      <c r="E35" s="70"/>
      <c r="F35" s="70"/>
      <c r="G35" s="288">
        <f>G14+E26-F26</f>
        <v>0</v>
      </c>
      <c r="H35" s="62"/>
      <c r="I35" s="62"/>
    </row>
    <row r="36" spans="1:9" s="67" customFormat="1" ht="15.75" thickBot="1">
      <c r="A36" s="63" t="s">
        <v>387</v>
      </c>
      <c r="B36" s="64"/>
      <c r="C36" s="64"/>
      <c r="D36" s="69"/>
      <c r="E36" s="70"/>
      <c r="F36" s="70"/>
      <c r="G36" s="288">
        <f>G15+E25-F25</f>
        <v>-11795.199475000001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ht="33.75" customHeight="1">
      <c r="A38" s="367" t="s">
        <v>44</v>
      </c>
      <c r="B38" s="403"/>
      <c r="C38" s="403"/>
      <c r="D38" s="403"/>
      <c r="E38" s="403"/>
      <c r="F38" s="403"/>
      <c r="G38" s="403"/>
      <c r="H38" s="58"/>
      <c r="I38" s="58"/>
    </row>
    <row r="40" spans="1:7" s="173" customFormat="1" ht="28.5" customHeight="1">
      <c r="A40" s="105" t="s">
        <v>11</v>
      </c>
      <c r="B40" s="394" t="s">
        <v>45</v>
      </c>
      <c r="C40" s="405"/>
      <c r="D40" s="105" t="s">
        <v>170</v>
      </c>
      <c r="E40" s="105" t="s">
        <v>169</v>
      </c>
      <c r="F40" s="394" t="s">
        <v>46</v>
      </c>
      <c r="G40" s="404"/>
    </row>
    <row r="41" spans="1:7" s="115" customFormat="1" ht="15" customHeight="1">
      <c r="A41" s="109" t="s">
        <v>47</v>
      </c>
      <c r="B41" s="396" t="s">
        <v>114</v>
      </c>
      <c r="C41" s="399"/>
      <c r="D41" s="289"/>
      <c r="E41" s="289"/>
      <c r="F41" s="406">
        <f>SUM(F42:G44)</f>
        <v>37386.3874</v>
      </c>
      <c r="G41" s="407"/>
    </row>
    <row r="42" spans="1:7" ht="27" customHeight="1">
      <c r="A42" s="34" t="s">
        <v>16</v>
      </c>
      <c r="B42" s="369" t="s">
        <v>512</v>
      </c>
      <c r="C42" s="371"/>
      <c r="D42" s="119" t="s">
        <v>240</v>
      </c>
      <c r="E42" s="154">
        <v>0.01</v>
      </c>
      <c r="F42" s="398">
        <f>12188.69</f>
        <v>12188.69</v>
      </c>
      <c r="G42" s="398"/>
    </row>
    <row r="43" spans="1:7" ht="27" customHeight="1">
      <c r="A43" s="34" t="s">
        <v>18</v>
      </c>
      <c r="B43" s="408" t="s">
        <v>564</v>
      </c>
      <c r="C43" s="409"/>
      <c r="D43" s="126" t="s">
        <v>248</v>
      </c>
      <c r="E43" s="187">
        <v>1</v>
      </c>
      <c r="F43" s="398">
        <v>25000</v>
      </c>
      <c r="G43" s="398"/>
    </row>
    <row r="44" spans="1:7" ht="15.75" customHeight="1">
      <c r="A44" s="34" t="s">
        <v>20</v>
      </c>
      <c r="B44" s="383" t="s">
        <v>198</v>
      </c>
      <c r="C44" s="400"/>
      <c r="D44" s="290"/>
      <c r="E44" s="290"/>
      <c r="F44" s="398">
        <f>E25*1%</f>
        <v>197.69740000000002</v>
      </c>
      <c r="G44" s="398"/>
    </row>
    <row r="45" spans="2:5" ht="15">
      <c r="B45" s="156"/>
      <c r="C45" s="156"/>
      <c r="D45" s="156"/>
      <c r="E45" s="156"/>
    </row>
    <row r="46" spans="1:6" s="67" customFormat="1" ht="15">
      <c r="A46" s="67" t="s">
        <v>55</v>
      </c>
      <c r="C46" s="67" t="s">
        <v>49</v>
      </c>
      <c r="F46" s="67" t="s">
        <v>93</v>
      </c>
    </row>
    <row r="47" s="67" customFormat="1" ht="15">
      <c r="F47" s="128" t="s">
        <v>508</v>
      </c>
    </row>
    <row r="48" s="67" customFormat="1" ht="15">
      <c r="A48" s="67" t="s">
        <v>50</v>
      </c>
    </row>
    <row r="49" spans="3:7" s="67" customFormat="1" ht="15">
      <c r="C49" s="130" t="s">
        <v>51</v>
      </c>
      <c r="E49" s="130"/>
      <c r="F49" s="130"/>
      <c r="G49" s="130"/>
    </row>
    <row r="50" s="67" customFormat="1" ht="15"/>
    <row r="51" s="67" customFormat="1" ht="15"/>
  </sheetData>
  <sheetProtection/>
  <mergeCells count="19">
    <mergeCell ref="A1:I1"/>
    <mergeCell ref="A2:I2"/>
    <mergeCell ref="A3:K3"/>
    <mergeCell ref="A5:I5"/>
    <mergeCell ref="A10:I10"/>
    <mergeCell ref="F42:G42"/>
    <mergeCell ref="A12:I12"/>
    <mergeCell ref="A33:C33"/>
    <mergeCell ref="A38:G38"/>
    <mergeCell ref="B40:C40"/>
    <mergeCell ref="A11:I11"/>
    <mergeCell ref="B44:C44"/>
    <mergeCell ref="F44:G44"/>
    <mergeCell ref="B41:C41"/>
    <mergeCell ref="F41:G41"/>
    <mergeCell ref="B42:C42"/>
    <mergeCell ref="B43:C43"/>
    <mergeCell ref="F43:G43"/>
    <mergeCell ref="F40:G40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4"/>
  <sheetViews>
    <sheetView zoomScalePageLayoutView="0" workbookViewId="0" topLeftCell="A35">
      <selection activeCell="A50" sqref="A50"/>
    </sheetView>
  </sheetViews>
  <sheetFormatPr defaultColWidth="9.140625" defaultRowHeight="15" outlineLevelCol="1"/>
  <cols>
    <col min="1" max="1" width="4.8515625" style="35" customWidth="1"/>
    <col min="2" max="2" width="48.00390625" style="35" bestFit="1" customWidth="1"/>
    <col min="3" max="3" width="12.421875" style="35" customWidth="1"/>
    <col min="4" max="5" width="13.00390625" style="35" customWidth="1"/>
    <col min="6" max="6" width="13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.7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5.2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6.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3" customHeight="1"/>
    <row r="7" spans="1:6" s="67" customFormat="1" ht="16.5" customHeight="1">
      <c r="A7" s="67" t="s">
        <v>2</v>
      </c>
      <c r="F7" s="128" t="s">
        <v>109</v>
      </c>
    </row>
    <row r="8" spans="1:11" s="67" customFormat="1" ht="15">
      <c r="A8" s="67" t="s">
        <v>3</v>
      </c>
      <c r="F8" s="299" t="s">
        <v>496</v>
      </c>
      <c r="H8" s="67">
        <f>31.9+31</f>
        <v>62.9</v>
      </c>
      <c r="I8" s="204">
        <f>34.8+33.2</f>
        <v>68</v>
      </c>
      <c r="J8" s="204">
        <v>2466.9</v>
      </c>
      <c r="K8" s="204">
        <f>J8+H8</f>
        <v>2529.8</v>
      </c>
    </row>
    <row r="9" s="67" customFormat="1" ht="5.25" customHeight="1"/>
    <row r="10" spans="1:9" s="67" customFormat="1" ht="12" customHeight="1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2" customHeight="1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2" customHeight="1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'[1]Ленина 67'!$G$36</f>
        <v>121742.19999999998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'[1]Ленина 67'!$G$37</f>
        <v>171254.39729999998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15">
      <c r="A18" s="75" t="s">
        <v>14</v>
      </c>
      <c r="B18" s="41" t="s">
        <v>15</v>
      </c>
      <c r="C18" s="137">
        <f>C19+C20+C21+C22</f>
        <v>9.879999999999999</v>
      </c>
      <c r="D18" s="76">
        <v>284128.2</v>
      </c>
      <c r="E18" s="76">
        <v>281238.91</v>
      </c>
      <c r="F18" s="76">
        <f aca="true" t="shared" si="0" ref="F18:F25">D18</f>
        <v>284128.2</v>
      </c>
      <c r="G18" s="77">
        <f>D18-E18</f>
        <v>2889.2900000000373</v>
      </c>
      <c r="H18" s="14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99502.38582995953</v>
      </c>
      <c r="E19" s="83">
        <f>E18*I19</f>
        <v>98490.5494534413</v>
      </c>
      <c r="F19" s="83">
        <f t="shared" si="0"/>
        <v>99502.38582995953</v>
      </c>
      <c r="G19" s="84">
        <f>D19-E19</f>
        <v>1011.8363765182294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48600.87631578948</v>
      </c>
      <c r="E20" s="83">
        <f>E18*I20</f>
        <v>48106.655657894735</v>
      </c>
      <c r="F20" s="83">
        <f t="shared" si="0"/>
        <v>48600.87631578948</v>
      </c>
      <c r="G20" s="84">
        <f>D20-E20</f>
        <v>494.22065789474436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48600.87631578948</v>
      </c>
      <c r="E21" s="83">
        <f>E18*I21</f>
        <v>48106.655657894735</v>
      </c>
      <c r="F21" s="83">
        <f t="shared" si="0"/>
        <v>48600.87631578948</v>
      </c>
      <c r="G21" s="84">
        <f>D21-E21</f>
        <v>494.22065789474436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87424.06153846155</v>
      </c>
      <c r="E22" s="83">
        <f>E18*I22</f>
        <v>86535.04923076923</v>
      </c>
      <c r="F22" s="83">
        <f t="shared" si="0"/>
        <v>87424.06153846155</v>
      </c>
      <c r="G22" s="84">
        <f>D22-E22</f>
        <v>889.0123076923192</v>
      </c>
      <c r="H22" s="147">
        <f>C22</f>
        <v>3.04</v>
      </c>
      <c r="I22" s="67">
        <f>H22/H18</f>
        <v>0.3076923076923077</v>
      </c>
    </row>
    <row r="23" spans="1:7" ht="15">
      <c r="A23" s="41" t="s">
        <v>25</v>
      </c>
      <c r="B23" s="142" t="s">
        <v>141</v>
      </c>
      <c r="C23" s="46">
        <v>0</v>
      </c>
      <c r="D23" s="77">
        <v>0</v>
      </c>
      <c r="E23" s="77">
        <v>0</v>
      </c>
      <c r="F23" s="77">
        <f t="shared" si="0"/>
        <v>0</v>
      </c>
      <c r="G23" s="77">
        <f aca="true" t="shared" si="1" ref="G23:G32">D23-E23</f>
        <v>0</v>
      </c>
    </row>
    <row r="24" spans="1:7" ht="1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2" t="s">
        <v>168</v>
      </c>
      <c r="C25" s="143">
        <v>12.54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2" t="s">
        <v>119</v>
      </c>
      <c r="C26" s="97">
        <v>1.86</v>
      </c>
      <c r="D26" s="77">
        <v>53401.95</v>
      </c>
      <c r="E26" s="77">
        <v>53008.05</v>
      </c>
      <c r="F26" s="87">
        <f>F44</f>
        <v>26409.0605</v>
      </c>
      <c r="G26" s="77">
        <f t="shared" si="1"/>
        <v>393.8999999999942</v>
      </c>
    </row>
    <row r="27" spans="1:9" s="38" customFormat="1" ht="15">
      <c r="A27" s="41" t="s">
        <v>33</v>
      </c>
      <c r="B27" s="136" t="s">
        <v>34</v>
      </c>
      <c r="C27" s="46">
        <v>0</v>
      </c>
      <c r="D27" s="77">
        <v>0</v>
      </c>
      <c r="E27" s="77">
        <v>315.68</v>
      </c>
      <c r="F27" s="87">
        <v>0</v>
      </c>
      <c r="G27" s="77">
        <f t="shared" si="1"/>
        <v>-315.68</v>
      </c>
      <c r="H27" s="35"/>
      <c r="I27" s="35"/>
    </row>
    <row r="28" spans="1:7" ht="15">
      <c r="A28" s="41" t="s">
        <v>35</v>
      </c>
      <c r="B28" s="136" t="s">
        <v>36</v>
      </c>
      <c r="C28" s="97"/>
      <c r="D28" s="77">
        <f>SUM(D29:D32)</f>
        <v>1303443.87</v>
      </c>
      <c r="E28" s="77">
        <f>SUM(E29:E32)</f>
        <v>1263613.16</v>
      </c>
      <c r="F28" s="77">
        <f>SUM(F29:F32)</f>
        <v>1303443.87</v>
      </c>
      <c r="G28" s="77">
        <f t="shared" si="1"/>
        <v>39830.710000000196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31076.52</v>
      </c>
      <c r="E29" s="84">
        <v>31112.38</v>
      </c>
      <c r="F29" s="84">
        <f>D29</f>
        <v>31076.52</v>
      </c>
      <c r="G29" s="84">
        <f t="shared" si="1"/>
        <v>-35.86000000000058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372074.55</v>
      </c>
      <c r="E30" s="84">
        <v>361105.92</v>
      </c>
      <c r="F30" s="84">
        <f>D30</f>
        <v>372074.55</v>
      </c>
      <c r="G30" s="84">
        <f t="shared" si="1"/>
        <v>10968.630000000005</v>
      </c>
    </row>
    <row r="31" spans="1:7" ht="15">
      <c r="A31" s="34" t="s">
        <v>42</v>
      </c>
      <c r="B31" s="34" t="s">
        <v>40</v>
      </c>
      <c r="C31" s="294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25.5">
      <c r="A32" s="34" t="s">
        <v>41</v>
      </c>
      <c r="B32" s="34" t="s">
        <v>43</v>
      </c>
      <c r="C32" s="293" t="s">
        <v>380</v>
      </c>
      <c r="D32" s="84">
        <v>900292.8</v>
      </c>
      <c r="E32" s="84">
        <v>871394.86</v>
      </c>
      <c r="F32" s="84">
        <f>D32</f>
        <v>900292.8</v>
      </c>
      <c r="G32" s="84">
        <f t="shared" si="1"/>
        <v>28897.94000000006</v>
      </c>
      <c r="H32" s="101"/>
      <c r="I32" s="101"/>
    </row>
    <row r="33" spans="1:9" ht="15.75" thickBot="1">
      <c r="A33" s="363" t="s">
        <v>378</v>
      </c>
      <c r="B33" s="364"/>
      <c r="C33" s="364"/>
      <c r="D33" s="365"/>
      <c r="E33" s="365"/>
      <c r="F33" s="365"/>
      <c r="G33" s="172"/>
      <c r="H33" s="101"/>
      <c r="I33" s="101"/>
    </row>
    <row r="34" spans="1:10" s="102" customFormat="1" ht="14.25" thickBot="1">
      <c r="A34" s="378" t="s">
        <v>383</v>
      </c>
      <c r="B34" s="379"/>
      <c r="C34" s="379"/>
      <c r="D34" s="65">
        <v>559923.22</v>
      </c>
      <c r="E34" s="66"/>
      <c r="F34" s="66"/>
      <c r="G34" s="66"/>
      <c r="H34" s="62"/>
      <c r="I34" s="62"/>
      <c r="J34" s="101"/>
    </row>
    <row r="35" spans="1:9" s="67" customFormat="1" ht="8.2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122057.87999999998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197853.3868</v>
      </c>
      <c r="H37" s="62"/>
      <c r="I37" s="62"/>
    </row>
    <row r="38" spans="1:9" s="67" customFormat="1" ht="15">
      <c r="A38" s="427" t="s">
        <v>489</v>
      </c>
      <c r="B38" s="428"/>
      <c r="C38" s="331"/>
      <c r="D38" s="331"/>
      <c r="E38" s="332"/>
      <c r="F38" s="332"/>
      <c r="G38" s="332"/>
      <c r="H38" s="62"/>
      <c r="I38" s="62"/>
    </row>
    <row r="39" spans="1:9" s="67" customFormat="1" ht="15">
      <c r="A39" s="429" t="s">
        <v>150</v>
      </c>
      <c r="B39" s="430"/>
      <c r="C39" s="322" t="s">
        <v>151</v>
      </c>
      <c r="D39" s="322" t="s">
        <v>152</v>
      </c>
      <c r="E39" s="323" t="s">
        <v>153</v>
      </c>
      <c r="F39" s="324" t="s">
        <v>154</v>
      </c>
      <c r="G39" s="323" t="s">
        <v>155</v>
      </c>
      <c r="H39" s="62"/>
      <c r="I39" s="62"/>
    </row>
    <row r="40" spans="1:9" s="67" customFormat="1" ht="15">
      <c r="A40" s="431"/>
      <c r="B40" s="432"/>
      <c r="C40" s="302">
        <f>34.8+33.2</f>
        <v>68</v>
      </c>
      <c r="D40" s="325">
        <f>E40/C40/12</f>
        <v>11.594803921568628</v>
      </c>
      <c r="E40" s="327">
        <f>4838.56+4622.8</f>
        <v>9461.36</v>
      </c>
      <c r="F40" s="327">
        <f>4430.01+19690.74</f>
        <v>24120.75</v>
      </c>
      <c r="G40" s="325">
        <f>E40-F40</f>
        <v>-14659.39</v>
      </c>
      <c r="H40" s="62"/>
      <c r="I40" s="307">
        <f>34.8+33.2</f>
        <v>68</v>
      </c>
    </row>
    <row r="41" spans="1:9" ht="27" customHeight="1">
      <c r="A41" s="433"/>
      <c r="B41" s="433"/>
      <c r="C41" s="433"/>
      <c r="D41" s="433"/>
      <c r="E41" s="433"/>
      <c r="F41" s="433"/>
      <c r="G41" s="433"/>
      <c r="H41" s="433"/>
      <c r="I41" s="433"/>
    </row>
    <row r="42" ht="3.75" customHeight="1"/>
    <row r="43" spans="1:7" s="173" customFormat="1" ht="28.5" customHeight="1">
      <c r="A43" s="105" t="s">
        <v>11</v>
      </c>
      <c r="B43" s="394" t="s">
        <v>45</v>
      </c>
      <c r="C43" s="405"/>
      <c r="D43" s="105" t="s">
        <v>170</v>
      </c>
      <c r="E43" s="105" t="s">
        <v>169</v>
      </c>
      <c r="F43" s="394" t="s">
        <v>46</v>
      </c>
      <c r="G43" s="405"/>
    </row>
    <row r="44" spans="1:7" s="115" customFormat="1" ht="12.75" customHeight="1">
      <c r="A44" s="109" t="s">
        <v>47</v>
      </c>
      <c r="B44" s="396" t="s">
        <v>114</v>
      </c>
      <c r="C44" s="399"/>
      <c r="D44" s="111"/>
      <c r="E44" s="111"/>
      <c r="F44" s="411">
        <f>SUM(F45:L49)</f>
        <v>26409.0605</v>
      </c>
      <c r="G44" s="404"/>
    </row>
    <row r="45" spans="1:7" ht="30" customHeight="1">
      <c r="A45" s="34" t="s">
        <v>16</v>
      </c>
      <c r="B45" s="369" t="s">
        <v>583</v>
      </c>
      <c r="C45" s="371"/>
      <c r="D45" s="119" t="s">
        <v>240</v>
      </c>
      <c r="E45" s="119">
        <v>0.03</v>
      </c>
      <c r="F45" s="420">
        <v>8488.98</v>
      </c>
      <c r="G45" s="421"/>
    </row>
    <row r="46" spans="1:7" ht="12.75" customHeight="1">
      <c r="A46" s="34" t="s">
        <v>18</v>
      </c>
      <c r="B46" s="369" t="s">
        <v>580</v>
      </c>
      <c r="C46" s="371"/>
      <c r="D46" s="119" t="s">
        <v>581</v>
      </c>
      <c r="E46" s="119" t="s">
        <v>584</v>
      </c>
      <c r="F46" s="410">
        <v>6200</v>
      </c>
      <c r="G46" s="410"/>
    </row>
    <row r="47" spans="1:7" ht="12.75" customHeight="1">
      <c r="A47" s="34" t="s">
        <v>20</v>
      </c>
      <c r="B47" s="369" t="s">
        <v>790</v>
      </c>
      <c r="C47" s="415"/>
      <c r="D47" s="119"/>
      <c r="E47" s="154"/>
      <c r="F47" s="398">
        <v>1190</v>
      </c>
      <c r="G47" s="398"/>
    </row>
    <row r="48" spans="1:7" ht="12.75" customHeight="1">
      <c r="A48" s="34" t="s">
        <v>22</v>
      </c>
      <c r="B48" s="117" t="s">
        <v>840</v>
      </c>
      <c r="C48" s="356"/>
      <c r="D48" s="119"/>
      <c r="E48" s="154"/>
      <c r="F48" s="398">
        <v>10000</v>
      </c>
      <c r="G48" s="398"/>
    </row>
    <row r="49" spans="1:7" ht="15">
      <c r="A49" s="34" t="s">
        <v>24</v>
      </c>
      <c r="B49" s="150" t="s">
        <v>198</v>
      </c>
      <c r="C49" s="151"/>
      <c r="D49" s="119"/>
      <c r="E49" s="119"/>
      <c r="F49" s="410">
        <f>E26*1%</f>
        <v>530.0805</v>
      </c>
      <c r="G49" s="410"/>
    </row>
    <row r="50" spans="1:7" ht="15">
      <c r="A50" s="67"/>
      <c r="B50" s="67"/>
      <c r="C50" s="67"/>
      <c r="D50" s="67"/>
      <c r="E50" s="67"/>
      <c r="F50" s="67"/>
      <c r="G50" s="67"/>
    </row>
    <row r="51" spans="1:7" ht="15">
      <c r="A51" s="67" t="s">
        <v>55</v>
      </c>
      <c r="B51" s="67"/>
      <c r="C51" s="67" t="s">
        <v>49</v>
      </c>
      <c r="D51" s="67"/>
      <c r="E51" s="67"/>
      <c r="F51" s="67" t="s">
        <v>93</v>
      </c>
      <c r="G51" s="67"/>
    </row>
    <row r="52" spans="1:7" ht="15">
      <c r="A52" s="67"/>
      <c r="B52" s="67"/>
      <c r="C52" s="67"/>
      <c r="D52" s="67"/>
      <c r="E52" s="67"/>
      <c r="F52" s="128" t="s">
        <v>516</v>
      </c>
      <c r="G52" s="67"/>
    </row>
    <row r="53" spans="1:7" ht="15">
      <c r="A53" s="67" t="s">
        <v>50</v>
      </c>
      <c r="B53" s="67"/>
      <c r="C53" s="67"/>
      <c r="D53" s="67"/>
      <c r="E53" s="67"/>
      <c r="F53" s="67"/>
      <c r="G53" s="67"/>
    </row>
    <row r="54" spans="1:7" ht="15">
      <c r="A54" s="67"/>
      <c r="B54" s="67"/>
      <c r="C54" s="130" t="s">
        <v>51</v>
      </c>
      <c r="D54" s="67"/>
      <c r="E54" s="130"/>
      <c r="F54" s="130"/>
      <c r="G54" s="130"/>
    </row>
  </sheetData>
  <sheetProtection/>
  <mergeCells count="24">
    <mergeCell ref="A34:C34"/>
    <mergeCell ref="A12:I12"/>
    <mergeCell ref="A41:I41"/>
    <mergeCell ref="F43:G43"/>
    <mergeCell ref="F45:G45"/>
    <mergeCell ref="A33:F33"/>
    <mergeCell ref="A38:B38"/>
    <mergeCell ref="A39:B40"/>
    <mergeCell ref="A1:I1"/>
    <mergeCell ref="A2:I2"/>
    <mergeCell ref="A5:I5"/>
    <mergeCell ref="A10:I10"/>
    <mergeCell ref="A3:K3"/>
    <mergeCell ref="A11:I11"/>
    <mergeCell ref="F49:G49"/>
    <mergeCell ref="B43:C43"/>
    <mergeCell ref="B44:C44"/>
    <mergeCell ref="B45:C45"/>
    <mergeCell ref="B46:C46"/>
    <mergeCell ref="F46:G46"/>
    <mergeCell ref="F44:G44"/>
    <mergeCell ref="B47:C47"/>
    <mergeCell ref="F47:G47"/>
    <mergeCell ref="F48:G4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P47"/>
  <sheetViews>
    <sheetView zoomScalePageLayoutView="0" workbookViewId="0" topLeftCell="A28">
      <selection activeCell="G35" sqref="G35"/>
    </sheetView>
  </sheetViews>
  <sheetFormatPr defaultColWidth="9.140625" defaultRowHeight="15" outlineLevelCol="1"/>
  <cols>
    <col min="1" max="1" width="5.57421875" style="35" customWidth="1"/>
    <col min="2" max="2" width="49.28125" style="35" customWidth="1"/>
    <col min="3" max="3" width="13.00390625" style="35" customWidth="1"/>
    <col min="4" max="4" width="13.421875" style="35" customWidth="1"/>
    <col min="5" max="5" width="13.8515625" style="35" customWidth="1"/>
    <col min="6" max="6" width="12.8515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3.7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.7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6" customHeight="1"/>
    <row r="7" spans="1:6" s="67" customFormat="1" ht="16.5" customHeight="1">
      <c r="A7" s="67" t="s">
        <v>2</v>
      </c>
      <c r="F7" s="128" t="s">
        <v>110</v>
      </c>
    </row>
    <row r="8" spans="1:6" s="67" customFormat="1" ht="15">
      <c r="A8" s="67" t="s">
        <v>3</v>
      </c>
      <c r="F8" s="299" t="s">
        <v>281</v>
      </c>
    </row>
    <row r="9" s="67" customFormat="1" ht="4.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313</v>
      </c>
      <c r="B14" s="64"/>
      <c r="C14" s="64"/>
      <c r="D14" s="69"/>
      <c r="E14" s="70"/>
      <c r="F14" s="70"/>
      <c r="G14" s="146">
        <f>'[1]Огарева 20'!$G$36</f>
        <v>136693.01940000002</v>
      </c>
      <c r="H14" s="62"/>
      <c r="I14" s="62"/>
    </row>
    <row r="15" s="67" customFormat="1" ht="6.75" customHeight="1"/>
    <row r="16" spans="1:7" s="74" customFormat="1" ht="38.25">
      <c r="A16" s="72" t="s">
        <v>11</v>
      </c>
      <c r="B16" s="72" t="s">
        <v>12</v>
      </c>
      <c r="C16" s="72" t="s">
        <v>94</v>
      </c>
      <c r="D16" s="72" t="s">
        <v>374</v>
      </c>
      <c r="E16" s="72" t="s">
        <v>375</v>
      </c>
      <c r="F16" s="73" t="s">
        <v>376</v>
      </c>
      <c r="G16" s="72" t="s">
        <v>377</v>
      </c>
    </row>
    <row r="17" spans="1:16" s="67" customFormat="1" ht="15">
      <c r="A17" s="75" t="s">
        <v>14</v>
      </c>
      <c r="B17" s="41" t="s">
        <v>15</v>
      </c>
      <c r="C17" s="137">
        <f>C18+C19+C20+C21</f>
        <v>10.34</v>
      </c>
      <c r="D17" s="76">
        <v>268712.61</v>
      </c>
      <c r="E17" s="76">
        <v>260328.99</v>
      </c>
      <c r="F17" s="76">
        <f aca="true" t="shared" si="0" ref="F17:F24">D17</f>
        <v>268712.61</v>
      </c>
      <c r="G17" s="77">
        <f>D17-E17</f>
        <v>8383.619999999995</v>
      </c>
      <c r="H17" s="78">
        <f>C17</f>
        <v>10.34</v>
      </c>
      <c r="I17" s="169"/>
      <c r="N17" s="214"/>
      <c r="O17" s="214"/>
      <c r="P17" s="214"/>
    </row>
    <row r="18" spans="1:9" s="67" customFormat="1" ht="15">
      <c r="A18" s="81" t="s">
        <v>16</v>
      </c>
      <c r="B18" s="34" t="s">
        <v>17</v>
      </c>
      <c r="C18" s="99">
        <v>3.46</v>
      </c>
      <c r="D18" s="83">
        <f>D17*I18</f>
        <v>89917.37239845262</v>
      </c>
      <c r="E18" s="83">
        <f>E17*I18</f>
        <v>87112.02179883946</v>
      </c>
      <c r="F18" s="83">
        <f t="shared" si="0"/>
        <v>89917.37239845262</v>
      </c>
      <c r="G18" s="84">
        <f>D18-E18</f>
        <v>2805.350599613157</v>
      </c>
      <c r="H18" s="78">
        <f>C18</f>
        <v>3.46</v>
      </c>
      <c r="I18" s="67">
        <f>H18/H17</f>
        <v>0.33462282398452614</v>
      </c>
    </row>
    <row r="19" spans="1:9" s="67" customFormat="1" ht="15">
      <c r="A19" s="81" t="s">
        <v>18</v>
      </c>
      <c r="B19" s="34" t="s">
        <v>19</v>
      </c>
      <c r="C19" s="99">
        <v>1.69</v>
      </c>
      <c r="D19" s="83">
        <f>D17*I19</f>
        <v>43919.17900386846</v>
      </c>
      <c r="E19" s="83">
        <f>E17*I19</f>
        <v>42548.935502901346</v>
      </c>
      <c r="F19" s="83">
        <f t="shared" si="0"/>
        <v>43919.17900386846</v>
      </c>
      <c r="G19" s="84">
        <f>D19-E19</f>
        <v>1370.2435009671171</v>
      </c>
      <c r="H19" s="78">
        <f>C19</f>
        <v>1.69</v>
      </c>
      <c r="I19" s="67">
        <f>H19/H17</f>
        <v>0.1634429400386847</v>
      </c>
    </row>
    <row r="20" spans="1:9" s="67" customFormat="1" ht="15">
      <c r="A20" s="81" t="s">
        <v>20</v>
      </c>
      <c r="B20" s="34" t="s">
        <v>21</v>
      </c>
      <c r="C20" s="99">
        <v>2.15</v>
      </c>
      <c r="D20" s="83">
        <f>D17*I20</f>
        <v>55873.51175048356</v>
      </c>
      <c r="E20" s="83">
        <f>E17*I20</f>
        <v>54130.30256286267</v>
      </c>
      <c r="F20" s="83">
        <f t="shared" si="0"/>
        <v>55873.51175048356</v>
      </c>
      <c r="G20" s="84">
        <f>D20-E20</f>
        <v>1743.209187620887</v>
      </c>
      <c r="H20" s="78">
        <f>C20</f>
        <v>2.15</v>
      </c>
      <c r="I20" s="67">
        <f>H20/H17</f>
        <v>0.2079303675048356</v>
      </c>
    </row>
    <row r="21" spans="1:9" s="67" customFormat="1" ht="15">
      <c r="A21" s="81" t="s">
        <v>22</v>
      </c>
      <c r="B21" s="34" t="s">
        <v>23</v>
      </c>
      <c r="C21" s="99">
        <v>3.04</v>
      </c>
      <c r="D21" s="83">
        <f>D17*I21</f>
        <v>79002.54684719535</v>
      </c>
      <c r="E21" s="83">
        <f>E17*I21</f>
        <v>76537.73013539652</v>
      </c>
      <c r="F21" s="83">
        <f t="shared" si="0"/>
        <v>79002.54684719535</v>
      </c>
      <c r="G21" s="84">
        <f>D21-E21</f>
        <v>2464.816711798834</v>
      </c>
      <c r="H21" s="78">
        <f>C21</f>
        <v>3.04</v>
      </c>
      <c r="I21" s="67">
        <f>H21/H17</f>
        <v>0.2940038684719536</v>
      </c>
    </row>
    <row r="22" spans="1:9" ht="15">
      <c r="A22" s="41" t="s">
        <v>25</v>
      </c>
      <c r="B22" s="41" t="s">
        <v>26</v>
      </c>
      <c r="C22" s="143">
        <v>0</v>
      </c>
      <c r="D22" s="77">
        <v>0</v>
      </c>
      <c r="E22" s="77">
        <v>0</v>
      </c>
      <c r="F22" s="76">
        <f t="shared" si="0"/>
        <v>0</v>
      </c>
      <c r="G22" s="77">
        <f aca="true" t="shared" si="1" ref="G22:G31">D22-E22</f>
        <v>0</v>
      </c>
      <c r="H22" s="39"/>
      <c r="I22" s="39"/>
    </row>
    <row r="23" spans="1:9" ht="15">
      <c r="A23" s="41" t="s">
        <v>27</v>
      </c>
      <c r="B23" s="41" t="s">
        <v>28</v>
      </c>
      <c r="C23" s="143">
        <v>0</v>
      </c>
      <c r="D23" s="77">
        <v>0</v>
      </c>
      <c r="E23" s="77">
        <v>0</v>
      </c>
      <c r="F23" s="77">
        <f t="shared" si="0"/>
        <v>0</v>
      </c>
      <c r="G23" s="77">
        <f t="shared" si="1"/>
        <v>0</v>
      </c>
      <c r="H23" s="39"/>
      <c r="I23" s="39"/>
    </row>
    <row r="24" spans="1:9" ht="15">
      <c r="A24" s="41" t="s">
        <v>29</v>
      </c>
      <c r="B24" s="41" t="s">
        <v>30</v>
      </c>
      <c r="C24" s="143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  <c r="H24" s="39"/>
      <c r="I24" s="39"/>
    </row>
    <row r="25" spans="1:9" ht="15">
      <c r="A25" s="41" t="s">
        <v>31</v>
      </c>
      <c r="B25" s="41" t="s">
        <v>119</v>
      </c>
      <c r="C25" s="143">
        <v>2.06</v>
      </c>
      <c r="D25" s="77">
        <v>50627.92</v>
      </c>
      <c r="E25" s="77">
        <v>51899.53</v>
      </c>
      <c r="F25" s="87">
        <f>F40</f>
        <v>9421.8953</v>
      </c>
      <c r="G25" s="77">
        <f t="shared" si="1"/>
        <v>-1271.6100000000006</v>
      </c>
      <c r="H25" s="39"/>
      <c r="I25" s="39"/>
    </row>
    <row r="26" spans="1:9" ht="15">
      <c r="A26" s="217">
        <v>6</v>
      </c>
      <c r="B26" s="86" t="s">
        <v>168</v>
      </c>
      <c r="C26" s="137" t="s">
        <v>395</v>
      </c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39"/>
      <c r="I26" s="39"/>
    </row>
    <row r="27" spans="1:9" ht="15">
      <c r="A27" s="217">
        <f>A26+1</f>
        <v>7</v>
      </c>
      <c r="B27" s="41" t="s">
        <v>36</v>
      </c>
      <c r="C27" s="144"/>
      <c r="D27" s="77">
        <f>SUM(D28:D31)</f>
        <v>1240197.88</v>
      </c>
      <c r="E27" s="77">
        <f>SUM(E28:E31)</f>
        <v>1276637.7200000002</v>
      </c>
      <c r="F27" s="77">
        <f>SUM(F28:F31)</f>
        <v>806472.8</v>
      </c>
      <c r="G27" s="77">
        <f t="shared" si="1"/>
        <v>-36439.84000000032</v>
      </c>
      <c r="H27" s="39"/>
      <c r="I27" s="39"/>
    </row>
    <row r="28" spans="1:7" ht="15">
      <c r="A28" s="218" t="s">
        <v>37</v>
      </c>
      <c r="B28" s="34" t="s">
        <v>96</v>
      </c>
      <c r="C28" s="293" t="s">
        <v>379</v>
      </c>
      <c r="D28" s="84">
        <v>17075.96</v>
      </c>
      <c r="E28" s="84">
        <v>17377.72</v>
      </c>
      <c r="F28" s="84">
        <f>D28</f>
        <v>17075.96</v>
      </c>
      <c r="G28" s="84">
        <f t="shared" si="1"/>
        <v>-301.76000000000204</v>
      </c>
    </row>
    <row r="29" spans="1:7" ht="15">
      <c r="A29" s="218" t="s">
        <v>39</v>
      </c>
      <c r="B29" s="34" t="s">
        <v>142</v>
      </c>
      <c r="C29" s="293" t="s">
        <v>382</v>
      </c>
      <c r="D29" s="84">
        <v>249875.69</v>
      </c>
      <c r="E29" s="84">
        <v>262781.83</v>
      </c>
      <c r="F29" s="84">
        <f>D29</f>
        <v>249875.69</v>
      </c>
      <c r="G29" s="84">
        <f t="shared" si="1"/>
        <v>-12906.140000000014</v>
      </c>
    </row>
    <row r="30" spans="1:7" ht="15">
      <c r="A30" s="218" t="s">
        <v>42</v>
      </c>
      <c r="B30" s="34" t="s">
        <v>143</v>
      </c>
      <c r="C30" s="294" t="s">
        <v>381</v>
      </c>
      <c r="D30" s="84">
        <v>439086.01</v>
      </c>
      <c r="E30" s="84">
        <v>452354.51</v>
      </c>
      <c r="F30" s="84">
        <v>5360.93</v>
      </c>
      <c r="G30" s="84">
        <f t="shared" si="1"/>
        <v>-13268.5</v>
      </c>
    </row>
    <row r="31" spans="1:7" ht="15">
      <c r="A31" s="218" t="s">
        <v>41</v>
      </c>
      <c r="B31" s="34" t="s">
        <v>43</v>
      </c>
      <c r="C31" s="293" t="s">
        <v>380</v>
      </c>
      <c r="D31" s="84">
        <v>534160.22</v>
      </c>
      <c r="E31" s="84">
        <v>544123.66</v>
      </c>
      <c r="F31" s="84">
        <f>D31</f>
        <v>534160.22</v>
      </c>
      <c r="G31" s="84">
        <f t="shared" si="1"/>
        <v>-9963.44000000006</v>
      </c>
    </row>
    <row r="32" spans="1:10" s="102" customFormat="1" ht="21" customHeight="1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  <c r="J32" s="101"/>
    </row>
    <row r="33" spans="1:9" s="67" customFormat="1" ht="15.75" thickBot="1">
      <c r="A33" s="378" t="s">
        <v>383</v>
      </c>
      <c r="B33" s="379"/>
      <c r="C33" s="379"/>
      <c r="D33" s="65">
        <v>279337.23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387</v>
      </c>
      <c r="B35" s="64"/>
      <c r="C35" s="64"/>
      <c r="D35" s="69"/>
      <c r="E35" s="70"/>
      <c r="F35" s="70"/>
      <c r="G35" s="146">
        <f>G14+E25-F25</f>
        <v>179170.6541</v>
      </c>
      <c r="H35" s="62"/>
      <c r="I35" s="62"/>
    </row>
    <row r="36" spans="1:9" s="67" customFormat="1" ht="15">
      <c r="A36" s="68"/>
      <c r="B36" s="68"/>
      <c r="C36" s="68"/>
      <c r="D36" s="40"/>
      <c r="E36" s="66"/>
      <c r="F36" s="66"/>
      <c r="G36" s="40"/>
      <c r="H36" s="62"/>
      <c r="I36" s="62"/>
    </row>
    <row r="37" spans="1:9" ht="26.25" customHeight="1">
      <c r="A37" s="433" t="s">
        <v>44</v>
      </c>
      <c r="B37" s="433"/>
      <c r="C37" s="433"/>
      <c r="D37" s="433"/>
      <c r="E37" s="433"/>
      <c r="F37" s="433"/>
      <c r="G37" s="433"/>
      <c r="H37" s="433"/>
      <c r="I37" s="433"/>
    </row>
    <row r="38" ht="3.75" customHeight="1"/>
    <row r="39" spans="1:7" s="173" customFormat="1" ht="28.5" customHeight="1">
      <c r="A39" s="105" t="s">
        <v>11</v>
      </c>
      <c r="B39" s="394" t="s">
        <v>45</v>
      </c>
      <c r="C39" s="405"/>
      <c r="D39" s="105" t="s">
        <v>170</v>
      </c>
      <c r="E39" s="105" t="s">
        <v>169</v>
      </c>
      <c r="F39" s="394" t="s">
        <v>46</v>
      </c>
      <c r="G39" s="405"/>
    </row>
    <row r="40" spans="1:7" s="115" customFormat="1" ht="13.5" customHeight="1">
      <c r="A40" s="109" t="s">
        <v>47</v>
      </c>
      <c r="B40" s="396" t="s">
        <v>114</v>
      </c>
      <c r="C40" s="399"/>
      <c r="D40" s="111"/>
      <c r="E40" s="111"/>
      <c r="F40" s="411">
        <f>SUM(F41:L44)</f>
        <v>9421.8953</v>
      </c>
      <c r="G40" s="404"/>
    </row>
    <row r="41" spans="1:9" s="115" customFormat="1" ht="15">
      <c r="A41" s="34" t="s">
        <v>16</v>
      </c>
      <c r="B41" s="369" t="s">
        <v>585</v>
      </c>
      <c r="C41" s="371"/>
      <c r="D41" s="119" t="s">
        <v>248</v>
      </c>
      <c r="E41" s="119">
        <v>1</v>
      </c>
      <c r="F41" s="420">
        <v>500</v>
      </c>
      <c r="G41" s="421"/>
      <c r="H41" s="35"/>
      <c r="I41" s="35"/>
    </row>
    <row r="42" spans="1:9" s="115" customFormat="1" ht="15">
      <c r="A42" s="34" t="s">
        <v>18</v>
      </c>
      <c r="B42" s="369" t="s">
        <v>503</v>
      </c>
      <c r="C42" s="415"/>
      <c r="D42" s="119" t="s">
        <v>248</v>
      </c>
      <c r="E42" s="154">
        <v>1</v>
      </c>
      <c r="F42" s="398">
        <v>402.9</v>
      </c>
      <c r="G42" s="398"/>
      <c r="H42" s="35"/>
      <c r="I42" s="35"/>
    </row>
    <row r="43" spans="1:9" s="115" customFormat="1" ht="15">
      <c r="A43" s="34" t="s">
        <v>20</v>
      </c>
      <c r="B43" s="369" t="s">
        <v>793</v>
      </c>
      <c r="C43" s="415"/>
      <c r="D43" s="119"/>
      <c r="E43" s="154"/>
      <c r="F43" s="398">
        <v>8000</v>
      </c>
      <c r="G43" s="398"/>
      <c r="H43" s="35"/>
      <c r="I43" s="35"/>
    </row>
    <row r="44" spans="1:9" s="67" customFormat="1" ht="15">
      <c r="A44" s="34" t="s">
        <v>22</v>
      </c>
      <c r="B44" s="150" t="s">
        <v>198</v>
      </c>
      <c r="C44" s="151"/>
      <c r="D44" s="119"/>
      <c r="E44" s="119"/>
      <c r="F44" s="410">
        <f>E25*1%</f>
        <v>518.9953</v>
      </c>
      <c r="G44" s="410"/>
      <c r="H44" s="35"/>
      <c r="I44" s="35"/>
    </row>
    <row r="45" spans="1:9" s="67" customFormat="1" ht="11.25" customHeight="1">
      <c r="A45" s="170"/>
      <c r="B45" s="182"/>
      <c r="C45" s="182"/>
      <c r="D45" s="219"/>
      <c r="E45" s="219"/>
      <c r="F45" s="183"/>
      <c r="G45" s="183"/>
      <c r="H45" s="35"/>
      <c r="I45" s="35"/>
    </row>
    <row r="46" spans="1:9" s="67" customFormat="1" ht="15">
      <c r="A46" s="67" t="s">
        <v>55</v>
      </c>
      <c r="C46" s="67" t="s">
        <v>49</v>
      </c>
      <c r="F46" s="67" t="s">
        <v>93</v>
      </c>
      <c r="H46" s="35"/>
      <c r="I46" s="35"/>
    </row>
    <row r="47" spans="6:9" s="67" customFormat="1" ht="15">
      <c r="F47" s="128" t="s">
        <v>516</v>
      </c>
      <c r="H47" s="35"/>
      <c r="I47" s="35"/>
    </row>
  </sheetData>
  <sheetProtection/>
  <mergeCells count="21">
    <mergeCell ref="A33:C33"/>
    <mergeCell ref="A12:I12"/>
    <mergeCell ref="A32:F32"/>
    <mergeCell ref="A1:I1"/>
    <mergeCell ref="A2:I2"/>
    <mergeCell ref="A5:I5"/>
    <mergeCell ref="A10:I10"/>
    <mergeCell ref="A3:K3"/>
    <mergeCell ref="B43:C43"/>
    <mergeCell ref="F43:G43"/>
    <mergeCell ref="A37:I37"/>
    <mergeCell ref="A11:I11"/>
    <mergeCell ref="B40:C40"/>
    <mergeCell ref="F44:G44"/>
    <mergeCell ref="F39:G39"/>
    <mergeCell ref="B42:C42"/>
    <mergeCell ref="F42:G42"/>
    <mergeCell ref="F41:G41"/>
    <mergeCell ref="B41:C41"/>
    <mergeCell ref="B39:C39"/>
    <mergeCell ref="F40:G4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K47"/>
  <sheetViews>
    <sheetView zoomScalePageLayoutView="0" workbookViewId="0" topLeftCell="A13">
      <selection activeCell="G35" sqref="G35"/>
    </sheetView>
  </sheetViews>
  <sheetFormatPr defaultColWidth="9.140625" defaultRowHeight="15" outlineLevelCol="1"/>
  <cols>
    <col min="1" max="1" width="5.57421875" style="35" customWidth="1"/>
    <col min="2" max="2" width="46.00390625" style="35" customWidth="1"/>
    <col min="3" max="3" width="14.28125" style="35" customWidth="1"/>
    <col min="4" max="5" width="12.7109375" style="35" customWidth="1"/>
    <col min="6" max="6" width="15.140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.7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6.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3.75" customHeight="1"/>
    <row r="7" spans="1:8" s="67" customFormat="1" ht="16.5" customHeight="1">
      <c r="A7" s="67" t="s">
        <v>2</v>
      </c>
      <c r="F7" s="128" t="s">
        <v>111</v>
      </c>
      <c r="H7" s="67" t="s">
        <v>322</v>
      </c>
    </row>
    <row r="8" spans="1:10" s="67" customFormat="1" ht="15">
      <c r="A8" s="67" t="s">
        <v>3</v>
      </c>
      <c r="F8" s="299" t="s">
        <v>417</v>
      </c>
      <c r="H8" s="204">
        <v>618.5</v>
      </c>
      <c r="I8" s="204">
        <f>H8+1788.4</f>
        <v>2406.9</v>
      </c>
      <c r="J8" s="204">
        <f>I8-H8</f>
        <v>1788.4</v>
      </c>
    </row>
    <row r="9" s="67" customFormat="1" ht="4.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313</v>
      </c>
      <c r="B14" s="64"/>
      <c r="C14" s="64"/>
      <c r="D14" s="69"/>
      <c r="E14" s="70"/>
      <c r="F14" s="70"/>
      <c r="G14" s="146">
        <f>'[1]Пролетарская 40'!$G$36</f>
        <v>63530.374</v>
      </c>
      <c r="H14" s="62"/>
      <c r="I14" s="62"/>
    </row>
    <row r="15" s="67" customFormat="1" ht="6.75" customHeight="1"/>
    <row r="16" spans="1:7" s="74" customFormat="1" ht="38.25">
      <c r="A16" s="72" t="s">
        <v>11</v>
      </c>
      <c r="B16" s="72" t="s">
        <v>12</v>
      </c>
      <c r="C16" s="72" t="s">
        <v>94</v>
      </c>
      <c r="D16" s="72" t="s">
        <v>374</v>
      </c>
      <c r="E16" s="72" t="s">
        <v>375</v>
      </c>
      <c r="F16" s="73" t="s">
        <v>376</v>
      </c>
      <c r="G16" s="72" t="s">
        <v>377</v>
      </c>
    </row>
    <row r="17" spans="1:9" s="67" customFormat="1" ht="29.25">
      <c r="A17" s="75" t="s">
        <v>14</v>
      </c>
      <c r="B17" s="41" t="s">
        <v>15</v>
      </c>
      <c r="C17" s="137">
        <f>C18+C19+C20+C21</f>
        <v>10.34</v>
      </c>
      <c r="D17" s="76">
        <v>235483.4</v>
      </c>
      <c r="E17" s="76">
        <v>212730.86</v>
      </c>
      <c r="F17" s="76">
        <f aca="true" t="shared" si="0" ref="F17:F24">D17</f>
        <v>235483.4</v>
      </c>
      <c r="G17" s="77">
        <f>D17-E17</f>
        <v>22752.540000000008</v>
      </c>
      <c r="H17" s="78">
        <f>C17</f>
        <v>10.34</v>
      </c>
      <c r="I17" s="169"/>
    </row>
    <row r="18" spans="1:9" s="67" customFormat="1" ht="15">
      <c r="A18" s="81" t="s">
        <v>16</v>
      </c>
      <c r="B18" s="34" t="s">
        <v>17</v>
      </c>
      <c r="C18" s="99">
        <v>3.46</v>
      </c>
      <c r="D18" s="83">
        <f>D17*I18</f>
        <v>78798.12030947776</v>
      </c>
      <c r="E18" s="83">
        <f>E17*I18</f>
        <v>71184.60112185687</v>
      </c>
      <c r="F18" s="83">
        <f t="shared" si="0"/>
        <v>78798.12030947776</v>
      </c>
      <c r="G18" s="84">
        <f>D18-E18</f>
        <v>7613.519187620885</v>
      </c>
      <c r="H18" s="78">
        <f>C18</f>
        <v>3.46</v>
      </c>
      <c r="I18" s="67">
        <f>H18/H17</f>
        <v>0.33462282398452614</v>
      </c>
    </row>
    <row r="19" spans="1:9" s="67" customFormat="1" ht="15">
      <c r="A19" s="81" t="s">
        <v>18</v>
      </c>
      <c r="B19" s="34" t="s">
        <v>19</v>
      </c>
      <c r="C19" s="99">
        <v>1.69</v>
      </c>
      <c r="D19" s="83">
        <f>D17*I19</f>
        <v>38488.0992263056</v>
      </c>
      <c r="E19" s="83">
        <f>E17*I19</f>
        <v>34769.35719535783</v>
      </c>
      <c r="F19" s="83">
        <f t="shared" si="0"/>
        <v>38488.0992263056</v>
      </c>
      <c r="G19" s="84">
        <f>D19-E19</f>
        <v>3718.7420309477748</v>
      </c>
      <c r="H19" s="78">
        <f>C19</f>
        <v>1.69</v>
      </c>
      <c r="I19" s="67">
        <f>H19/H17</f>
        <v>0.1634429400386847</v>
      </c>
    </row>
    <row r="20" spans="1:9" s="67" customFormat="1" ht="15">
      <c r="A20" s="81" t="s">
        <v>20</v>
      </c>
      <c r="B20" s="34" t="s">
        <v>21</v>
      </c>
      <c r="C20" s="99">
        <v>2.15</v>
      </c>
      <c r="D20" s="83">
        <f>D17*I20</f>
        <v>48964.1499032882</v>
      </c>
      <c r="E20" s="83">
        <f>E17*I20</f>
        <v>44233.20589941973</v>
      </c>
      <c r="F20" s="83">
        <f t="shared" si="0"/>
        <v>48964.1499032882</v>
      </c>
      <c r="G20" s="84">
        <f>D20-E20</f>
        <v>4730.94400386847</v>
      </c>
      <c r="H20" s="78">
        <f>C20</f>
        <v>2.15</v>
      </c>
      <c r="I20" s="67">
        <f>H20/H17</f>
        <v>0.2079303675048356</v>
      </c>
    </row>
    <row r="21" spans="1:9" s="67" customFormat="1" ht="15">
      <c r="A21" s="81" t="s">
        <v>22</v>
      </c>
      <c r="B21" s="34" t="s">
        <v>23</v>
      </c>
      <c r="C21" s="99">
        <v>3.04</v>
      </c>
      <c r="D21" s="83">
        <f>D17*I21</f>
        <v>69233.03056092844</v>
      </c>
      <c r="E21" s="83">
        <f>E17*I21</f>
        <v>62543.69578336557</v>
      </c>
      <c r="F21" s="83">
        <f t="shared" si="0"/>
        <v>69233.03056092844</v>
      </c>
      <c r="G21" s="84">
        <f>D21-E21</f>
        <v>6689.334777562872</v>
      </c>
      <c r="H21" s="78">
        <f>C21</f>
        <v>3.04</v>
      </c>
      <c r="I21" s="67">
        <f>H21/H17</f>
        <v>0.2940038684719536</v>
      </c>
    </row>
    <row r="22" spans="1:9" ht="15">
      <c r="A22" s="41" t="s">
        <v>25</v>
      </c>
      <c r="B22" s="41" t="s">
        <v>26</v>
      </c>
      <c r="C22" s="143">
        <v>0</v>
      </c>
      <c r="D22" s="77">
        <v>0</v>
      </c>
      <c r="E22" s="77">
        <v>0</v>
      </c>
      <c r="F22" s="76">
        <f t="shared" si="0"/>
        <v>0</v>
      </c>
      <c r="G22" s="77">
        <f aca="true" t="shared" si="1" ref="G22:G31">D22-E22</f>
        <v>0</v>
      </c>
      <c r="H22" s="39"/>
      <c r="I22" s="39"/>
    </row>
    <row r="23" spans="1:9" ht="15">
      <c r="A23" s="41" t="s">
        <v>27</v>
      </c>
      <c r="B23" s="41" t="s">
        <v>28</v>
      </c>
      <c r="C23" s="143">
        <v>0</v>
      </c>
      <c r="D23" s="77">
        <v>0</v>
      </c>
      <c r="E23" s="77">
        <v>0</v>
      </c>
      <c r="F23" s="77">
        <f t="shared" si="0"/>
        <v>0</v>
      </c>
      <c r="G23" s="77">
        <f t="shared" si="1"/>
        <v>0</v>
      </c>
      <c r="H23" s="39"/>
      <c r="I23" s="39"/>
    </row>
    <row r="24" spans="1:9" ht="15">
      <c r="A24" s="41" t="s">
        <v>29</v>
      </c>
      <c r="B24" s="41" t="s">
        <v>30</v>
      </c>
      <c r="C24" s="143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  <c r="H24" s="39"/>
      <c r="I24" s="39"/>
    </row>
    <row r="25" spans="1:9" ht="15">
      <c r="A25" s="41" t="s">
        <v>31</v>
      </c>
      <c r="B25" s="41" t="s">
        <v>119</v>
      </c>
      <c r="C25" s="143">
        <v>2.06</v>
      </c>
      <c r="D25" s="77">
        <v>43689.49</v>
      </c>
      <c r="E25" s="77">
        <v>41347.85</v>
      </c>
      <c r="F25" s="87">
        <f>F40</f>
        <v>413.4785</v>
      </c>
      <c r="G25" s="77">
        <f t="shared" si="1"/>
        <v>2341.6399999999994</v>
      </c>
      <c r="H25" s="39"/>
      <c r="I25" s="39"/>
    </row>
    <row r="26" spans="1:9" ht="15">
      <c r="A26" s="217">
        <v>6</v>
      </c>
      <c r="B26" s="86" t="s">
        <v>168</v>
      </c>
      <c r="C26" s="137" t="s">
        <v>395</v>
      </c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39"/>
      <c r="I26" s="39"/>
    </row>
    <row r="27" spans="1:9" ht="15">
      <c r="A27" s="217">
        <f>A26+1</f>
        <v>7</v>
      </c>
      <c r="B27" s="41" t="s">
        <v>36</v>
      </c>
      <c r="C27" s="144"/>
      <c r="D27" s="77">
        <f>SUM(D28:D31)</f>
        <v>1207024.28</v>
      </c>
      <c r="E27" s="77">
        <f>SUM(E28:E31)</f>
        <v>1075453.83</v>
      </c>
      <c r="F27" s="77">
        <f>SUM(F28:F31)</f>
        <v>1207024.28</v>
      </c>
      <c r="G27" s="77">
        <f t="shared" si="1"/>
        <v>131570.44999999995</v>
      </c>
      <c r="H27" s="39"/>
      <c r="I27" s="39"/>
    </row>
    <row r="28" spans="1:7" ht="15">
      <c r="A28" s="218" t="s">
        <v>37</v>
      </c>
      <c r="B28" s="34" t="s">
        <v>96</v>
      </c>
      <c r="C28" s="293" t="s">
        <v>379</v>
      </c>
      <c r="D28" s="84">
        <v>24068.11</v>
      </c>
      <c r="E28" s="84">
        <v>20470.61</v>
      </c>
      <c r="F28" s="84">
        <f>D28</f>
        <v>24068.11</v>
      </c>
      <c r="G28" s="84">
        <f t="shared" si="1"/>
        <v>3597.5</v>
      </c>
    </row>
    <row r="29" spans="1:7" ht="15">
      <c r="A29" s="218" t="s">
        <v>39</v>
      </c>
      <c r="B29" s="34" t="s">
        <v>142</v>
      </c>
      <c r="C29" s="293" t="s">
        <v>382</v>
      </c>
      <c r="D29" s="84">
        <v>248458.41</v>
      </c>
      <c r="E29" s="84">
        <v>224435.46</v>
      </c>
      <c r="F29" s="84">
        <f>D29</f>
        <v>248458.41</v>
      </c>
      <c r="G29" s="84">
        <f t="shared" si="1"/>
        <v>24022.95000000001</v>
      </c>
    </row>
    <row r="30" spans="1:7" ht="15">
      <c r="A30" s="218" t="s">
        <v>42</v>
      </c>
      <c r="B30" s="34" t="s">
        <v>143</v>
      </c>
      <c r="C30" s="294" t="s">
        <v>381</v>
      </c>
      <c r="D30" s="84">
        <v>443079.1</v>
      </c>
      <c r="E30" s="84">
        <v>386667.04</v>
      </c>
      <c r="F30" s="84">
        <f>D30</f>
        <v>443079.1</v>
      </c>
      <c r="G30" s="84">
        <f t="shared" si="1"/>
        <v>56412.06</v>
      </c>
    </row>
    <row r="31" spans="1:7" ht="15">
      <c r="A31" s="218" t="s">
        <v>41</v>
      </c>
      <c r="B31" s="34" t="s">
        <v>43</v>
      </c>
      <c r="C31" s="293" t="s">
        <v>380</v>
      </c>
      <c r="D31" s="84">
        <v>491418.66</v>
      </c>
      <c r="E31" s="84">
        <v>443880.72</v>
      </c>
      <c r="F31" s="84">
        <f>D31</f>
        <v>491418.66</v>
      </c>
      <c r="G31" s="84">
        <f t="shared" si="1"/>
        <v>47537.94</v>
      </c>
    </row>
    <row r="32" spans="1:10" s="102" customFormat="1" ht="19.5" customHeight="1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  <c r="J32" s="101"/>
    </row>
    <row r="33" spans="1:9" s="67" customFormat="1" ht="15.75" thickBot="1">
      <c r="A33" s="378" t="s">
        <v>383</v>
      </c>
      <c r="B33" s="379"/>
      <c r="C33" s="379"/>
      <c r="D33" s="65">
        <v>2191435.82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387</v>
      </c>
      <c r="B35" s="64"/>
      <c r="C35" s="64"/>
      <c r="D35" s="69"/>
      <c r="E35" s="70"/>
      <c r="F35" s="70"/>
      <c r="G35" s="146">
        <f>G14+E25-F25</f>
        <v>104464.7455</v>
      </c>
      <c r="H35" s="62"/>
      <c r="I35" s="62"/>
    </row>
    <row r="36" spans="1:9" s="67" customFormat="1" ht="15">
      <c r="A36" s="68"/>
      <c r="B36" s="68"/>
      <c r="C36" s="68"/>
      <c r="D36" s="40"/>
      <c r="E36" s="66"/>
      <c r="F36" s="66"/>
      <c r="G36" s="40"/>
      <c r="H36" s="62"/>
      <c r="I36" s="62"/>
    </row>
    <row r="37" spans="1:9" ht="26.25" customHeight="1">
      <c r="A37" s="433" t="s">
        <v>44</v>
      </c>
      <c r="B37" s="433"/>
      <c r="C37" s="433"/>
      <c r="D37" s="433"/>
      <c r="E37" s="433"/>
      <c r="F37" s="433"/>
      <c r="G37" s="433"/>
      <c r="H37" s="433"/>
      <c r="I37" s="433"/>
    </row>
    <row r="38" ht="3.75" customHeight="1"/>
    <row r="39" spans="1:7" s="173" customFormat="1" ht="28.5" customHeight="1">
      <c r="A39" s="105" t="s">
        <v>11</v>
      </c>
      <c r="B39" s="394" t="s">
        <v>45</v>
      </c>
      <c r="C39" s="405"/>
      <c r="D39" s="105" t="s">
        <v>170</v>
      </c>
      <c r="E39" s="105" t="s">
        <v>169</v>
      </c>
      <c r="F39" s="394" t="s">
        <v>46</v>
      </c>
      <c r="G39" s="405"/>
    </row>
    <row r="40" spans="1:7" s="115" customFormat="1" ht="13.5" customHeight="1">
      <c r="A40" s="109" t="s">
        <v>47</v>
      </c>
      <c r="B40" s="396" t="s">
        <v>114</v>
      </c>
      <c r="C40" s="399"/>
      <c r="D40" s="111"/>
      <c r="E40" s="111"/>
      <c r="F40" s="411">
        <f>SUM(F41:L42)</f>
        <v>413.4785</v>
      </c>
      <c r="G40" s="404"/>
    </row>
    <row r="41" spans="1:7" s="115" customFormat="1" ht="13.5" customHeight="1">
      <c r="A41" s="34" t="s">
        <v>16</v>
      </c>
      <c r="B41" s="369"/>
      <c r="C41" s="415"/>
      <c r="D41" s="111"/>
      <c r="E41" s="154"/>
      <c r="F41" s="398"/>
      <c r="G41" s="398"/>
    </row>
    <row r="42" spans="1:7" ht="15">
      <c r="A42" s="34" t="s">
        <v>18</v>
      </c>
      <c r="B42" s="150" t="s">
        <v>198</v>
      </c>
      <c r="C42" s="151"/>
      <c r="D42" s="119"/>
      <c r="E42" s="119"/>
      <c r="F42" s="410">
        <f>E25*1%</f>
        <v>413.4785</v>
      </c>
      <c r="G42" s="410"/>
    </row>
    <row r="43" spans="1:7" ht="15">
      <c r="A43" s="67"/>
      <c r="B43" s="67"/>
      <c r="C43" s="67"/>
      <c r="D43" s="67"/>
      <c r="E43" s="67"/>
      <c r="F43" s="67"/>
      <c r="G43" s="67"/>
    </row>
    <row r="44" spans="1:7" ht="15">
      <c r="A44" s="67" t="s">
        <v>55</v>
      </c>
      <c r="B44" s="67"/>
      <c r="C44" s="67" t="s">
        <v>49</v>
      </c>
      <c r="D44" s="67"/>
      <c r="E44" s="67"/>
      <c r="F44" s="67" t="s">
        <v>93</v>
      </c>
      <c r="G44" s="67"/>
    </row>
    <row r="45" spans="1:7" ht="15">
      <c r="A45" s="67"/>
      <c r="B45" s="67"/>
      <c r="C45" s="67"/>
      <c r="D45" s="67"/>
      <c r="E45" s="67"/>
      <c r="F45" s="128" t="s">
        <v>516</v>
      </c>
      <c r="G45" s="67"/>
    </row>
    <row r="46" spans="1:7" ht="15">
      <c r="A46" s="67" t="s">
        <v>50</v>
      </c>
      <c r="B46" s="67"/>
      <c r="C46" s="67"/>
      <c r="D46" s="67"/>
      <c r="E46" s="67"/>
      <c r="F46" s="67"/>
      <c r="G46" s="67"/>
    </row>
    <row r="47" spans="1:7" ht="15">
      <c r="A47" s="67"/>
      <c r="B47" s="67"/>
      <c r="C47" s="130" t="s">
        <v>51</v>
      </c>
      <c r="D47" s="67"/>
      <c r="E47" s="130"/>
      <c r="F47" s="130"/>
      <c r="G47" s="130"/>
    </row>
  </sheetData>
  <sheetProtection/>
  <mergeCells count="17">
    <mergeCell ref="F41:G41"/>
    <mergeCell ref="F40:G40"/>
    <mergeCell ref="B39:C39"/>
    <mergeCell ref="B40:C40"/>
    <mergeCell ref="A12:I12"/>
    <mergeCell ref="A37:I37"/>
    <mergeCell ref="A32:F32"/>
    <mergeCell ref="A1:I1"/>
    <mergeCell ref="A2:I2"/>
    <mergeCell ref="A5:I5"/>
    <mergeCell ref="A10:I10"/>
    <mergeCell ref="A3:K3"/>
    <mergeCell ref="F42:G42"/>
    <mergeCell ref="F39:G39"/>
    <mergeCell ref="A33:C33"/>
    <mergeCell ref="B41:C41"/>
    <mergeCell ref="A11:I11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</sheetPr>
  <dimension ref="A1:K50"/>
  <sheetViews>
    <sheetView zoomScalePageLayoutView="0" workbookViewId="0" topLeftCell="A32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0.28125" style="35" customWidth="1"/>
    <col min="3" max="3" width="13.42187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4.2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3" customHeight="1"/>
    <row r="7" spans="1:6" s="67" customFormat="1" ht="16.5" customHeight="1">
      <c r="A7" s="67" t="s">
        <v>2</v>
      </c>
      <c r="F7" s="128" t="s">
        <v>112</v>
      </c>
    </row>
    <row r="8" spans="1:6" s="67" customFormat="1" ht="15">
      <c r="A8" s="67" t="s">
        <v>3</v>
      </c>
      <c r="F8" s="299" t="s">
        <v>113</v>
      </c>
    </row>
    <row r="9" s="67" customFormat="1" ht="6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'[1]Чижевского 4'!$G$37</f>
        <v>-7060.03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'[1]Чижевского 4'!$G$38</f>
        <v>-347576.6364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9" s="67" customFormat="1" ht="29.25">
      <c r="A18" s="75" t="s">
        <v>14</v>
      </c>
      <c r="B18" s="41" t="s">
        <v>15</v>
      </c>
      <c r="C18" s="137">
        <f>C19+C20+C21+C22</f>
        <v>10.34</v>
      </c>
      <c r="D18" s="76">
        <v>175072.92</v>
      </c>
      <c r="E18" s="76">
        <v>175902</v>
      </c>
      <c r="F18" s="76">
        <f aca="true" t="shared" si="0" ref="F18:F24">D18</f>
        <v>175072.92</v>
      </c>
      <c r="G18" s="77">
        <f>D18-E18</f>
        <v>-829.0799999999872</v>
      </c>
      <c r="H18" s="78">
        <f>C18</f>
        <v>10.34</v>
      </c>
      <c r="I18" s="169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58583.39489361703</v>
      </c>
      <c r="E19" s="83">
        <f>E18*I19</f>
        <v>58860.82398452612</v>
      </c>
      <c r="F19" s="83">
        <f t="shared" si="0"/>
        <v>58583.39489361703</v>
      </c>
      <c r="G19" s="84">
        <f>D19-E19</f>
        <v>-277.42909090909234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28614.432765957445</v>
      </c>
      <c r="E20" s="83">
        <f>E18*I20</f>
        <v>28749.940038684716</v>
      </c>
      <c r="F20" s="83">
        <f t="shared" si="0"/>
        <v>28614.432765957445</v>
      </c>
      <c r="G20" s="84">
        <f>D20-E20</f>
        <v>-135.5072727272709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36402.97659574469</v>
      </c>
      <c r="E21" s="83">
        <f>E18*I21</f>
        <v>36575.36750483559</v>
      </c>
      <c r="F21" s="83">
        <f t="shared" si="0"/>
        <v>36402.97659574469</v>
      </c>
      <c r="G21" s="84">
        <f>D21-E21</f>
        <v>-172.3909090909001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51472.11574468086</v>
      </c>
      <c r="E22" s="83">
        <f>E18*I22</f>
        <v>51715.86847195358</v>
      </c>
      <c r="F22" s="83">
        <f t="shared" si="0"/>
        <v>51472.11574468086</v>
      </c>
      <c r="G22" s="84">
        <f>D22-E22</f>
        <v>-243.75272727272386</v>
      </c>
      <c r="H22" s="78">
        <f>C22</f>
        <v>3.04</v>
      </c>
      <c r="I22" s="67">
        <f>H22/H18</f>
        <v>0.2940038684719536</v>
      </c>
    </row>
    <row r="23" spans="1:9" ht="15">
      <c r="A23" s="41" t="s">
        <v>25</v>
      </c>
      <c r="B23" s="41" t="s">
        <v>26</v>
      </c>
      <c r="C23" s="143">
        <v>0</v>
      </c>
      <c r="D23" s="77">
        <v>0</v>
      </c>
      <c r="E23" s="77">
        <v>0</v>
      </c>
      <c r="F23" s="76">
        <f t="shared" si="0"/>
        <v>0</v>
      </c>
      <c r="G23" s="77">
        <f aca="true" t="shared" si="1" ref="G23:G32">D23-E23</f>
        <v>0</v>
      </c>
      <c r="H23" s="39"/>
      <c r="I23" s="39"/>
    </row>
    <row r="24" spans="1:9" ht="15">
      <c r="A24" s="41" t="s">
        <v>27</v>
      </c>
      <c r="B24" s="41" t="s">
        <v>28</v>
      </c>
      <c r="C24" s="143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  <c r="H24" s="39"/>
      <c r="I24" s="39"/>
    </row>
    <row r="25" spans="1:9" ht="15">
      <c r="A25" s="41" t="s">
        <v>29</v>
      </c>
      <c r="B25" s="41" t="s">
        <v>95</v>
      </c>
      <c r="C25" s="143">
        <v>0</v>
      </c>
      <c r="D25" s="77">
        <v>0</v>
      </c>
      <c r="E25" s="77">
        <v>0</v>
      </c>
      <c r="F25" s="77">
        <v>0</v>
      </c>
      <c r="G25" s="77">
        <f t="shared" si="1"/>
        <v>0</v>
      </c>
      <c r="H25" s="39"/>
      <c r="I25" s="39"/>
    </row>
    <row r="26" spans="1:9" ht="15">
      <c r="A26" s="41" t="s">
        <v>31</v>
      </c>
      <c r="B26" s="41" t="s">
        <v>119</v>
      </c>
      <c r="C26" s="143">
        <v>3</v>
      </c>
      <c r="D26" s="77">
        <v>51408</v>
      </c>
      <c r="E26" s="77">
        <v>52700.34</v>
      </c>
      <c r="F26" s="87">
        <f>F42</f>
        <v>17127.0034</v>
      </c>
      <c r="G26" s="77">
        <f t="shared" si="1"/>
        <v>-1292.3399999999965</v>
      </c>
      <c r="H26" s="39"/>
      <c r="I26" s="39"/>
    </row>
    <row r="27" spans="1:9" ht="15">
      <c r="A27" s="217">
        <v>6</v>
      </c>
      <c r="B27" s="86" t="s">
        <v>168</v>
      </c>
      <c r="C27" s="137">
        <v>0</v>
      </c>
      <c r="D27" s="77">
        <v>0</v>
      </c>
      <c r="E27" s="77">
        <v>0</v>
      </c>
      <c r="F27" s="87">
        <f>D27</f>
        <v>0</v>
      </c>
      <c r="G27" s="77">
        <f t="shared" si="1"/>
        <v>0</v>
      </c>
      <c r="H27" s="39"/>
      <c r="I27" s="39"/>
    </row>
    <row r="28" spans="1:9" ht="15">
      <c r="A28" s="217">
        <f>A27+1</f>
        <v>7</v>
      </c>
      <c r="B28" s="41" t="s">
        <v>36</v>
      </c>
      <c r="C28" s="144"/>
      <c r="D28" s="77">
        <f>SUM(D29:D32)</f>
        <v>807951</v>
      </c>
      <c r="E28" s="77">
        <f>SUM(E29:E32)</f>
        <v>794608.99</v>
      </c>
      <c r="F28" s="77">
        <f>SUM(F29:F32)</f>
        <v>807951</v>
      </c>
      <c r="G28" s="77">
        <f t="shared" si="1"/>
        <v>13342.01000000001</v>
      </c>
      <c r="H28" s="39"/>
      <c r="I28" s="39"/>
    </row>
    <row r="29" spans="1:7" ht="15">
      <c r="A29" s="218" t="s">
        <v>37</v>
      </c>
      <c r="B29" s="34" t="s">
        <v>96</v>
      </c>
      <c r="C29" s="293" t="s">
        <v>379</v>
      </c>
      <c r="D29" s="84">
        <v>13114.98</v>
      </c>
      <c r="E29" s="84">
        <v>13174.66</v>
      </c>
      <c r="F29" s="84">
        <f>D29</f>
        <v>13114.98</v>
      </c>
      <c r="G29" s="84">
        <f t="shared" si="1"/>
        <v>-59.68000000000029</v>
      </c>
    </row>
    <row r="30" spans="1:7" ht="15">
      <c r="A30" s="218" t="s">
        <v>39</v>
      </c>
      <c r="B30" s="34" t="s">
        <v>142</v>
      </c>
      <c r="C30" s="293" t="s">
        <v>382</v>
      </c>
      <c r="D30" s="84">
        <v>108361.39</v>
      </c>
      <c r="E30" s="84">
        <v>106395.2</v>
      </c>
      <c r="F30" s="84">
        <f>D30</f>
        <v>108361.39</v>
      </c>
      <c r="G30" s="84">
        <f t="shared" si="1"/>
        <v>1966.1900000000023</v>
      </c>
    </row>
    <row r="31" spans="1:7" ht="15">
      <c r="A31" s="218" t="s">
        <v>42</v>
      </c>
      <c r="B31" s="34" t="s">
        <v>143</v>
      </c>
      <c r="C31" s="294" t="s">
        <v>381</v>
      </c>
      <c r="D31" s="84">
        <v>165327.48</v>
      </c>
      <c r="E31" s="84">
        <v>157530.8</v>
      </c>
      <c r="F31" s="84">
        <f>D31</f>
        <v>165327.48</v>
      </c>
      <c r="G31" s="84">
        <f t="shared" si="1"/>
        <v>7796.680000000022</v>
      </c>
    </row>
    <row r="32" spans="1:7" ht="15">
      <c r="A32" s="218" t="s">
        <v>41</v>
      </c>
      <c r="B32" s="34" t="s">
        <v>43</v>
      </c>
      <c r="C32" s="293" t="s">
        <v>380</v>
      </c>
      <c r="D32" s="84">
        <v>521147.15</v>
      </c>
      <c r="E32" s="84">
        <v>517508.33</v>
      </c>
      <c r="F32" s="84">
        <f>D32</f>
        <v>521147.15</v>
      </c>
      <c r="G32" s="84">
        <f t="shared" si="1"/>
        <v>3638.820000000007</v>
      </c>
    </row>
    <row r="33" spans="1:10" s="102" customFormat="1" ht="5.25" customHeight="1" thickBot="1">
      <c r="A33" s="104"/>
      <c r="B33" s="104"/>
      <c r="C33" s="104"/>
      <c r="D33" s="101"/>
      <c r="E33" s="101"/>
      <c r="F33" s="101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65">
        <v>165978.63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418</v>
      </c>
      <c r="B36" s="64"/>
      <c r="C36" s="64"/>
      <c r="D36" s="69"/>
      <c r="E36" s="70"/>
      <c r="F36" s="70"/>
      <c r="G36" s="146">
        <f>G14+E25-F25</f>
        <v>-7060.03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-312003.2998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25.5" customHeight="1">
      <c r="A39" s="433" t="s">
        <v>44</v>
      </c>
      <c r="B39" s="433"/>
      <c r="C39" s="433"/>
      <c r="D39" s="433"/>
      <c r="E39" s="433"/>
      <c r="F39" s="433"/>
      <c r="G39" s="433"/>
      <c r="H39" s="433"/>
      <c r="I39" s="433"/>
    </row>
    <row r="41" spans="1:9" ht="28.5">
      <c r="A41" s="105" t="s">
        <v>11</v>
      </c>
      <c r="B41" s="394" t="s">
        <v>45</v>
      </c>
      <c r="C41" s="405"/>
      <c r="D41" s="105" t="s">
        <v>170</v>
      </c>
      <c r="E41" s="105" t="s">
        <v>169</v>
      </c>
      <c r="F41" s="394" t="s">
        <v>46</v>
      </c>
      <c r="G41" s="405"/>
      <c r="H41" s="173"/>
      <c r="I41" s="173"/>
    </row>
    <row r="42" spans="1:9" s="173" customFormat="1" ht="15">
      <c r="A42" s="109" t="s">
        <v>47</v>
      </c>
      <c r="B42" s="396" t="s">
        <v>114</v>
      </c>
      <c r="C42" s="399"/>
      <c r="D42" s="111"/>
      <c r="E42" s="111"/>
      <c r="F42" s="411">
        <f>SUM(F43:L45)</f>
        <v>17127.0034</v>
      </c>
      <c r="G42" s="404"/>
      <c r="H42" s="115"/>
      <c r="I42" s="115"/>
    </row>
    <row r="43" spans="1:9" s="115" customFormat="1" ht="13.5" customHeight="1">
      <c r="A43" s="34" t="s">
        <v>16</v>
      </c>
      <c r="B43" s="369" t="s">
        <v>580</v>
      </c>
      <c r="C43" s="371"/>
      <c r="D43" s="119" t="s">
        <v>586</v>
      </c>
      <c r="E43" s="119" t="s">
        <v>587</v>
      </c>
      <c r="F43" s="420">
        <v>16600</v>
      </c>
      <c r="G43" s="421"/>
      <c r="H43" s="35"/>
      <c r="I43" s="35"/>
    </row>
    <row r="44" spans="1:7" ht="13.5" customHeight="1">
      <c r="A44" s="34" t="s">
        <v>18</v>
      </c>
      <c r="B44" s="369"/>
      <c r="C44" s="371"/>
      <c r="D44" s="119"/>
      <c r="E44" s="119"/>
      <c r="F44" s="420"/>
      <c r="G44" s="421"/>
    </row>
    <row r="45" spans="1:7" ht="13.5" customHeight="1">
      <c r="A45" s="34" t="s">
        <v>20</v>
      </c>
      <c r="B45" s="150" t="s">
        <v>198</v>
      </c>
      <c r="C45" s="151"/>
      <c r="D45" s="119"/>
      <c r="E45" s="119"/>
      <c r="F45" s="410">
        <f>E26*1%</f>
        <v>527.0033999999999</v>
      </c>
      <c r="G45" s="410"/>
    </row>
    <row r="46" spans="8:9" s="67" customFormat="1" ht="6" customHeight="1">
      <c r="H46" s="35"/>
      <c r="I46" s="35"/>
    </row>
    <row r="47" spans="1:9" s="67" customFormat="1" ht="15">
      <c r="A47" s="67" t="s">
        <v>55</v>
      </c>
      <c r="C47" s="67" t="s">
        <v>49</v>
      </c>
      <c r="F47" s="67" t="s">
        <v>93</v>
      </c>
      <c r="H47" s="35"/>
      <c r="I47" s="35"/>
    </row>
    <row r="48" spans="6:9" s="67" customFormat="1" ht="12.75" customHeight="1">
      <c r="F48" s="128" t="s">
        <v>516</v>
      </c>
      <c r="H48" s="35"/>
      <c r="I48" s="35"/>
    </row>
    <row r="49" spans="1:9" s="67" customFormat="1" ht="15">
      <c r="A49" s="67" t="s">
        <v>50</v>
      </c>
      <c r="H49" s="35"/>
      <c r="I49" s="35"/>
    </row>
    <row r="50" spans="3:9" s="67" customFormat="1" ht="15">
      <c r="C50" s="130" t="s">
        <v>51</v>
      </c>
      <c r="E50" s="130"/>
      <c r="F50" s="130"/>
      <c r="G50" s="130"/>
      <c r="H50" s="35"/>
      <c r="I50" s="35"/>
    </row>
    <row r="51" s="67" customFormat="1" ht="15"/>
    <row r="52" s="67" customFormat="1" ht="15"/>
  </sheetData>
  <sheetProtection/>
  <mergeCells count="18">
    <mergeCell ref="A1:I1"/>
    <mergeCell ref="A2:I2"/>
    <mergeCell ref="A5:I5"/>
    <mergeCell ref="A10:I10"/>
    <mergeCell ref="B43:C43"/>
    <mergeCell ref="A39:I39"/>
    <mergeCell ref="B41:C41"/>
    <mergeCell ref="F41:G41"/>
    <mergeCell ref="A11:I11"/>
    <mergeCell ref="A3:K3"/>
    <mergeCell ref="A12:I12"/>
    <mergeCell ref="F42:G42"/>
    <mergeCell ref="B42:C42"/>
    <mergeCell ref="F45:G45"/>
    <mergeCell ref="F44:G44"/>
    <mergeCell ref="F43:G43"/>
    <mergeCell ref="B44:C44"/>
    <mergeCell ref="A34:C34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</sheetPr>
  <dimension ref="A1:K53"/>
  <sheetViews>
    <sheetView zoomScalePageLayoutView="0" workbookViewId="0" topLeftCell="A22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7.8515625" style="35" customWidth="1"/>
    <col min="3" max="3" width="13.00390625" style="35" customWidth="1"/>
    <col min="4" max="5" width="12.7109375" style="35" customWidth="1"/>
    <col min="6" max="6" width="15.281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4.2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3" customHeight="1"/>
    <row r="7" spans="1:6" s="67" customFormat="1" ht="16.5" customHeight="1">
      <c r="A7" s="67" t="s">
        <v>2</v>
      </c>
      <c r="F7" s="128" t="s">
        <v>129</v>
      </c>
    </row>
    <row r="8" spans="1:11" s="67" customFormat="1" ht="15">
      <c r="A8" s="67" t="s">
        <v>3</v>
      </c>
      <c r="F8" s="299" t="s">
        <v>419</v>
      </c>
      <c r="I8" s="204">
        <v>16</v>
      </c>
      <c r="J8" s="204">
        <f>3809.9</f>
        <v>3809.9</v>
      </c>
      <c r="K8" s="204">
        <f>I8+J8</f>
        <v>3825.9</v>
      </c>
    </row>
    <row r="9" s="67" customFormat="1" ht="6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'[1]Билибина 10'!$G$37</f>
        <v>13787.78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'[1]Билибина 10'!$G$38</f>
        <v>109258.95179999998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9" s="67" customFormat="1" ht="15" customHeight="1">
      <c r="A18" s="75" t="s">
        <v>14</v>
      </c>
      <c r="B18" s="41" t="s">
        <v>15</v>
      </c>
      <c r="C18" s="137">
        <f>C19+C20+C21+C22</f>
        <v>10.34</v>
      </c>
      <c r="D18" s="76">
        <v>467476.78</v>
      </c>
      <c r="E18" s="76">
        <v>472256.25</v>
      </c>
      <c r="F18" s="76">
        <f aca="true" t="shared" si="0" ref="F18:F24">D18</f>
        <v>467476.78</v>
      </c>
      <c r="G18" s="77">
        <f>D18-E18</f>
        <v>-4779.469999999972</v>
      </c>
      <c r="H18" s="78">
        <f>C18</f>
        <v>10.34</v>
      </c>
      <c r="I18" s="169"/>
    </row>
    <row r="19" spans="1:9" s="67" customFormat="1" ht="15" customHeight="1">
      <c r="A19" s="81" t="s">
        <v>16</v>
      </c>
      <c r="B19" s="34" t="s">
        <v>17</v>
      </c>
      <c r="C19" s="99">
        <v>3.46</v>
      </c>
      <c r="D19" s="83">
        <f>D18*I19</f>
        <v>156428.40027079306</v>
      </c>
      <c r="E19" s="83">
        <f>E18*I19</f>
        <v>158027.72001934238</v>
      </c>
      <c r="F19" s="83">
        <f t="shared" si="0"/>
        <v>156428.40027079306</v>
      </c>
      <c r="G19" s="84">
        <f>D19-E19</f>
        <v>-1599.3197485493147</v>
      </c>
      <c r="H19" s="78">
        <f>C19</f>
        <v>3.46</v>
      </c>
      <c r="I19" s="67">
        <f>H19/H18</f>
        <v>0.33462282398452614</v>
      </c>
    </row>
    <row r="20" spans="1:9" s="67" customFormat="1" ht="15" customHeight="1">
      <c r="A20" s="81" t="s">
        <v>18</v>
      </c>
      <c r="B20" s="34" t="s">
        <v>19</v>
      </c>
      <c r="C20" s="99">
        <v>1.69</v>
      </c>
      <c r="D20" s="83">
        <f>D18*I20</f>
        <v>76405.7793230174</v>
      </c>
      <c r="E20" s="83">
        <f>E18*I20</f>
        <v>77186.9499516441</v>
      </c>
      <c r="F20" s="83">
        <f t="shared" si="0"/>
        <v>76405.7793230174</v>
      </c>
      <c r="G20" s="84">
        <f>D20-E20</f>
        <v>-781.1706286266999</v>
      </c>
      <c r="H20" s="78">
        <f>C20</f>
        <v>1.69</v>
      </c>
      <c r="I20" s="67">
        <f>H20/H18</f>
        <v>0.1634429400386847</v>
      </c>
    </row>
    <row r="21" spans="1:9" s="67" customFormat="1" ht="15" customHeight="1">
      <c r="A21" s="81" t="s">
        <v>20</v>
      </c>
      <c r="B21" s="34" t="s">
        <v>21</v>
      </c>
      <c r="C21" s="99">
        <v>2.15</v>
      </c>
      <c r="D21" s="83">
        <f>D18*I21</f>
        <v>97202.61866537719</v>
      </c>
      <c r="E21" s="83">
        <f>E18*I21</f>
        <v>98196.41561895552</v>
      </c>
      <c r="F21" s="83">
        <f t="shared" si="0"/>
        <v>97202.61866537719</v>
      </c>
      <c r="G21" s="84">
        <f>D21-E21</f>
        <v>-993.7969535783341</v>
      </c>
      <c r="H21" s="78">
        <f>C21</f>
        <v>2.15</v>
      </c>
      <c r="I21" s="67">
        <f>H21/H18</f>
        <v>0.2079303675048356</v>
      </c>
    </row>
    <row r="22" spans="1:9" s="67" customFormat="1" ht="15" customHeight="1">
      <c r="A22" s="81" t="s">
        <v>22</v>
      </c>
      <c r="B22" s="34" t="s">
        <v>23</v>
      </c>
      <c r="C22" s="99">
        <v>3.04</v>
      </c>
      <c r="D22" s="83">
        <f>D18*I22</f>
        <v>137439.9817408124</v>
      </c>
      <c r="E22" s="83">
        <f>E18*I22</f>
        <v>138845.16441005803</v>
      </c>
      <c r="F22" s="83">
        <f t="shared" si="0"/>
        <v>137439.9817408124</v>
      </c>
      <c r="G22" s="84">
        <f>D22-E22</f>
        <v>-1405.182669245638</v>
      </c>
      <c r="H22" s="78">
        <f>C22</f>
        <v>3.04</v>
      </c>
      <c r="I22" s="67">
        <f>H22/H18</f>
        <v>0.2940038684719536</v>
      </c>
    </row>
    <row r="23" spans="1:9" ht="15" customHeight="1">
      <c r="A23" s="41" t="s">
        <v>25</v>
      </c>
      <c r="B23" s="41" t="s">
        <v>26</v>
      </c>
      <c r="C23" s="143">
        <v>3.86</v>
      </c>
      <c r="D23" s="77">
        <v>174289.52</v>
      </c>
      <c r="E23" s="77">
        <v>176222.83</v>
      </c>
      <c r="F23" s="76">
        <f t="shared" si="0"/>
        <v>174289.52</v>
      </c>
      <c r="G23" s="77">
        <f aca="true" t="shared" si="1" ref="G23:G32">D23-E23</f>
        <v>-1933.3099999999977</v>
      </c>
      <c r="H23" s="39"/>
      <c r="I23" s="39"/>
    </row>
    <row r="24" spans="1:9" ht="15" customHeight="1">
      <c r="A24" s="41" t="s">
        <v>27</v>
      </c>
      <c r="B24" s="41" t="s">
        <v>28</v>
      </c>
      <c r="C24" s="143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  <c r="H24" s="39"/>
      <c r="I24" s="39"/>
    </row>
    <row r="25" spans="1:9" ht="15" customHeight="1">
      <c r="A25" s="41" t="s">
        <v>29</v>
      </c>
      <c r="B25" s="41" t="s">
        <v>178</v>
      </c>
      <c r="C25" s="143">
        <v>1.12</v>
      </c>
      <c r="D25" s="77">
        <v>50580.44</v>
      </c>
      <c r="E25" s="77">
        <v>51148.15</v>
      </c>
      <c r="F25" s="77">
        <f>D25</f>
        <v>50580.44</v>
      </c>
      <c r="G25" s="77">
        <f t="shared" si="1"/>
        <v>-567.7099999999991</v>
      </c>
      <c r="H25" s="39"/>
      <c r="I25" s="39"/>
    </row>
    <row r="26" spans="1:9" ht="15" customHeight="1">
      <c r="A26" s="41" t="s">
        <v>31</v>
      </c>
      <c r="B26" s="41" t="s">
        <v>119</v>
      </c>
      <c r="C26" s="143">
        <v>2.06</v>
      </c>
      <c r="D26" s="77">
        <v>93086.28</v>
      </c>
      <c r="E26" s="77">
        <v>94134.98</v>
      </c>
      <c r="F26" s="87">
        <f>F44</f>
        <v>118100.16979999999</v>
      </c>
      <c r="G26" s="77">
        <f t="shared" si="1"/>
        <v>-1048.699999999997</v>
      </c>
      <c r="H26" s="39"/>
      <c r="I26" s="39"/>
    </row>
    <row r="27" spans="1:9" ht="15" customHeight="1">
      <c r="A27" s="217">
        <v>6</v>
      </c>
      <c r="B27" s="86" t="s">
        <v>168</v>
      </c>
      <c r="C27" s="137">
        <v>12.54</v>
      </c>
      <c r="D27" s="77">
        <v>0</v>
      </c>
      <c r="E27" s="77">
        <v>0</v>
      </c>
      <c r="F27" s="87">
        <f>D27</f>
        <v>0</v>
      </c>
      <c r="G27" s="77">
        <f t="shared" si="1"/>
        <v>0</v>
      </c>
      <c r="H27" s="39"/>
      <c r="I27" s="39"/>
    </row>
    <row r="28" spans="1:9" ht="15" customHeight="1">
      <c r="A28" s="217">
        <f>A27+1</f>
        <v>7</v>
      </c>
      <c r="B28" s="41" t="s">
        <v>36</v>
      </c>
      <c r="C28" s="144"/>
      <c r="D28" s="77">
        <f>SUM(D29:D32)</f>
        <v>2309685.44</v>
      </c>
      <c r="E28" s="77">
        <f>SUM(E29:E32)</f>
        <v>2354596.69</v>
      </c>
      <c r="F28" s="77">
        <f>SUM(F29:F32)</f>
        <v>2229518.56</v>
      </c>
      <c r="G28" s="77">
        <f t="shared" si="1"/>
        <v>-44911.25</v>
      </c>
      <c r="H28" s="39"/>
      <c r="I28" s="39"/>
    </row>
    <row r="29" spans="1:7" ht="15" customHeight="1">
      <c r="A29" s="218" t="s">
        <v>37</v>
      </c>
      <c r="B29" s="34" t="s">
        <v>96</v>
      </c>
      <c r="C29" s="293" t="s">
        <v>379</v>
      </c>
      <c r="D29" s="84">
        <v>81809.02</v>
      </c>
      <c r="E29" s="84">
        <v>82693.57</v>
      </c>
      <c r="F29" s="84">
        <v>1642.14</v>
      </c>
      <c r="G29" s="84">
        <f t="shared" si="1"/>
        <v>-884.5500000000029</v>
      </c>
    </row>
    <row r="30" spans="1:7" ht="15" customHeight="1">
      <c r="A30" s="218" t="s">
        <v>39</v>
      </c>
      <c r="B30" s="34" t="s">
        <v>142</v>
      </c>
      <c r="C30" s="293" t="s">
        <v>382</v>
      </c>
      <c r="D30" s="84">
        <v>310631.38</v>
      </c>
      <c r="E30" s="84">
        <v>325117.07</v>
      </c>
      <c r="F30" s="84">
        <f>D30</f>
        <v>310631.38</v>
      </c>
      <c r="G30" s="84">
        <f t="shared" si="1"/>
        <v>-14485.690000000002</v>
      </c>
    </row>
    <row r="31" spans="1:7" ht="15" customHeight="1">
      <c r="A31" s="218" t="s">
        <v>42</v>
      </c>
      <c r="B31" s="34" t="s">
        <v>143</v>
      </c>
      <c r="C31" s="294" t="s">
        <v>381</v>
      </c>
      <c r="D31" s="84">
        <v>527253</v>
      </c>
      <c r="E31" s="84">
        <v>556241.09</v>
      </c>
      <c r="F31" s="84">
        <f>D31</f>
        <v>527253</v>
      </c>
      <c r="G31" s="84">
        <f t="shared" si="1"/>
        <v>-28988.089999999967</v>
      </c>
    </row>
    <row r="32" spans="1:7" ht="15" customHeight="1">
      <c r="A32" s="218" t="s">
        <v>41</v>
      </c>
      <c r="B32" s="34" t="s">
        <v>43</v>
      </c>
      <c r="C32" s="293" t="s">
        <v>380</v>
      </c>
      <c r="D32" s="84">
        <v>1389992.04</v>
      </c>
      <c r="E32" s="84">
        <v>1390544.96</v>
      </c>
      <c r="F32" s="84">
        <f>D32</f>
        <v>1389992.04</v>
      </c>
      <c r="G32" s="84">
        <f t="shared" si="1"/>
        <v>-552.9199999999255</v>
      </c>
    </row>
    <row r="33" spans="1:10" s="102" customFormat="1" ht="18" customHeight="1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65">
        <v>511337.36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6.5" customHeight="1" thickBot="1">
      <c r="A36" s="63" t="s">
        <v>386</v>
      </c>
      <c r="B36" s="64"/>
      <c r="C36" s="64"/>
      <c r="D36" s="69"/>
      <c r="E36" s="70"/>
      <c r="F36" s="70"/>
      <c r="G36" s="146">
        <f>G14</f>
        <v>13787.78</v>
      </c>
      <c r="H36" s="62"/>
      <c r="I36" s="62"/>
    </row>
    <row r="37" spans="1:9" s="67" customFormat="1" ht="16.5" customHeight="1" thickBot="1">
      <c r="A37" s="63" t="s">
        <v>387</v>
      </c>
      <c r="B37" s="64"/>
      <c r="C37" s="64"/>
      <c r="D37" s="69"/>
      <c r="E37" s="70"/>
      <c r="F37" s="70"/>
      <c r="G37" s="146">
        <f>G15+E26-F26</f>
        <v>85293.76199999997</v>
      </c>
      <c r="H37" s="62"/>
      <c r="I37" s="62"/>
    </row>
    <row r="38" spans="1:9" s="67" customFormat="1" ht="16.5" customHeight="1">
      <c r="A38" s="427" t="s">
        <v>489</v>
      </c>
      <c r="B38" s="428"/>
      <c r="C38" s="331"/>
      <c r="D38" s="331"/>
      <c r="E38" s="332"/>
      <c r="F38" s="332"/>
      <c r="G38" s="332"/>
      <c r="H38" s="62"/>
      <c r="I38" s="62"/>
    </row>
    <row r="39" spans="1:9" s="67" customFormat="1" ht="16.5" customHeight="1">
      <c r="A39" s="429" t="s">
        <v>150</v>
      </c>
      <c r="B39" s="430"/>
      <c r="C39" s="322" t="s">
        <v>151</v>
      </c>
      <c r="D39" s="322" t="s">
        <v>152</v>
      </c>
      <c r="E39" s="323" t="s">
        <v>153</v>
      </c>
      <c r="F39" s="324" t="s">
        <v>154</v>
      </c>
      <c r="G39" s="323" t="s">
        <v>155</v>
      </c>
      <c r="H39" s="62"/>
      <c r="I39" s="62"/>
    </row>
    <row r="40" spans="1:9" s="67" customFormat="1" ht="16.5" customHeight="1">
      <c r="A40" s="431"/>
      <c r="B40" s="432"/>
      <c r="C40" s="302">
        <v>16</v>
      </c>
      <c r="D40" s="325">
        <f>E40/C40/12</f>
        <v>17.173333333333336</v>
      </c>
      <c r="E40" s="327">
        <v>3297.28</v>
      </c>
      <c r="F40" s="327">
        <v>19277.81</v>
      </c>
      <c r="G40" s="325">
        <f>E40-F40</f>
        <v>-15980.53</v>
      </c>
      <c r="H40" s="62"/>
      <c r="I40" s="307">
        <v>16</v>
      </c>
    </row>
    <row r="41" spans="1:9" ht="26.25" customHeight="1">
      <c r="A41" s="433" t="s">
        <v>44</v>
      </c>
      <c r="B41" s="433"/>
      <c r="C41" s="433"/>
      <c r="D41" s="433"/>
      <c r="E41" s="433"/>
      <c r="F41" s="433"/>
      <c r="G41" s="433"/>
      <c r="H41" s="433"/>
      <c r="I41" s="433"/>
    </row>
    <row r="42" ht="3.75" customHeight="1"/>
    <row r="43" spans="1:7" s="173" customFormat="1" ht="28.5" customHeight="1">
      <c r="A43" s="105" t="s">
        <v>11</v>
      </c>
      <c r="B43" s="394" t="s">
        <v>45</v>
      </c>
      <c r="C43" s="405"/>
      <c r="D43" s="105" t="s">
        <v>170</v>
      </c>
      <c r="E43" s="105" t="s">
        <v>169</v>
      </c>
      <c r="F43" s="394" t="s">
        <v>46</v>
      </c>
      <c r="G43" s="405"/>
    </row>
    <row r="44" spans="1:7" s="115" customFormat="1" ht="13.5" customHeight="1">
      <c r="A44" s="109" t="s">
        <v>47</v>
      </c>
      <c r="B44" s="396" t="s">
        <v>114</v>
      </c>
      <c r="C44" s="399"/>
      <c r="D44" s="111"/>
      <c r="E44" s="111"/>
      <c r="F44" s="411">
        <f>SUM(F45:L48)</f>
        <v>118100.16979999999</v>
      </c>
      <c r="G44" s="404"/>
    </row>
    <row r="45" spans="1:7" ht="13.5" customHeight="1">
      <c r="A45" s="34" t="s">
        <v>16</v>
      </c>
      <c r="B45" s="369" t="s">
        <v>175</v>
      </c>
      <c r="C45" s="371"/>
      <c r="D45" s="119" t="s">
        <v>265</v>
      </c>
      <c r="E45" s="203" t="s">
        <v>249</v>
      </c>
      <c r="F45" s="420">
        <v>105683.62</v>
      </c>
      <c r="G45" s="421"/>
    </row>
    <row r="46" spans="1:7" ht="13.5" customHeight="1">
      <c r="A46" s="34" t="s">
        <v>18</v>
      </c>
      <c r="B46" s="369" t="s">
        <v>177</v>
      </c>
      <c r="C46" s="415"/>
      <c r="D46" s="119" t="s">
        <v>265</v>
      </c>
      <c r="E46" s="154">
        <v>0.06</v>
      </c>
      <c r="F46" s="398">
        <v>10795.2</v>
      </c>
      <c r="G46" s="398"/>
    </row>
    <row r="47" spans="1:7" ht="13.5" customHeight="1">
      <c r="A47" s="34" t="s">
        <v>20</v>
      </c>
      <c r="B47" s="369" t="s">
        <v>802</v>
      </c>
      <c r="C47" s="415"/>
      <c r="D47" s="119"/>
      <c r="E47" s="154"/>
      <c r="F47" s="398">
        <v>680</v>
      </c>
      <c r="G47" s="398"/>
    </row>
    <row r="48" spans="1:7" ht="13.5" customHeight="1">
      <c r="A48" s="34" t="s">
        <v>22</v>
      </c>
      <c r="B48" s="150" t="s">
        <v>198</v>
      </c>
      <c r="C48" s="151"/>
      <c r="D48" s="119"/>
      <c r="E48" s="119"/>
      <c r="F48" s="410">
        <f>E26*1%</f>
        <v>941.3498</v>
      </c>
      <c r="G48" s="410"/>
    </row>
    <row r="49" spans="1:7" ht="13.5" customHeight="1">
      <c r="A49" s="67"/>
      <c r="B49" s="67"/>
      <c r="C49" s="67"/>
      <c r="D49" s="67"/>
      <c r="E49" s="67"/>
      <c r="F49" s="67"/>
      <c r="G49" s="67"/>
    </row>
    <row r="50" spans="1:9" s="67" customFormat="1" ht="15">
      <c r="A50" s="67" t="s">
        <v>55</v>
      </c>
      <c r="C50" s="67" t="s">
        <v>49</v>
      </c>
      <c r="F50" s="67" t="s">
        <v>93</v>
      </c>
      <c r="H50" s="35"/>
      <c r="I50" s="35"/>
    </row>
    <row r="51" spans="6:9" s="67" customFormat="1" ht="15">
      <c r="F51" s="128" t="s">
        <v>516</v>
      </c>
      <c r="H51" s="35"/>
      <c r="I51" s="35"/>
    </row>
    <row r="52" spans="1:9" s="67" customFormat="1" ht="13.5" customHeight="1">
      <c r="A52" s="67" t="s">
        <v>50</v>
      </c>
      <c r="H52" s="35"/>
      <c r="I52" s="35"/>
    </row>
    <row r="53" spans="3:7" s="67" customFormat="1" ht="15">
      <c r="C53" s="130" t="s">
        <v>51</v>
      </c>
      <c r="E53" s="130"/>
      <c r="F53" s="130"/>
      <c r="G53" s="130"/>
    </row>
    <row r="54" s="67" customFormat="1" ht="15"/>
  </sheetData>
  <sheetProtection/>
  <mergeCells count="23">
    <mergeCell ref="F48:G48"/>
    <mergeCell ref="F44:G44"/>
    <mergeCell ref="B47:C47"/>
    <mergeCell ref="A38:B38"/>
    <mergeCell ref="A39:B40"/>
    <mergeCell ref="F47:G47"/>
    <mergeCell ref="B43:C43"/>
    <mergeCell ref="A41:I41"/>
    <mergeCell ref="F43:G43"/>
    <mergeCell ref="F45:G45"/>
    <mergeCell ref="B44:C44"/>
    <mergeCell ref="B46:C46"/>
    <mergeCell ref="F46:G46"/>
    <mergeCell ref="B45:C45"/>
    <mergeCell ref="A12:I12"/>
    <mergeCell ref="A34:C34"/>
    <mergeCell ref="A33:F33"/>
    <mergeCell ref="A1:I1"/>
    <mergeCell ref="A2:I2"/>
    <mergeCell ref="A3:K3"/>
    <mergeCell ref="A5:I5"/>
    <mergeCell ref="A11:I11"/>
    <mergeCell ref="A10:I10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</sheetPr>
  <dimension ref="A1:K56"/>
  <sheetViews>
    <sheetView zoomScalePageLayoutView="0" workbookViewId="0" topLeftCell="A28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0.421875" style="35" customWidth="1"/>
    <col min="3" max="3" width="13.2812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4.2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3" customHeight="1"/>
    <row r="7" spans="1:6" s="67" customFormat="1" ht="16.5" customHeight="1">
      <c r="A7" s="67" t="s">
        <v>2</v>
      </c>
      <c r="F7" s="128" t="s">
        <v>132</v>
      </c>
    </row>
    <row r="8" spans="1:10" s="67" customFormat="1" ht="15">
      <c r="A8" s="67" t="s">
        <v>3</v>
      </c>
      <c r="F8" s="299" t="s">
        <v>497</v>
      </c>
      <c r="I8" s="204">
        <f>75.4+459.8</f>
        <v>535.2</v>
      </c>
      <c r="J8" s="204">
        <f>3906.3</f>
        <v>3906.3</v>
      </c>
    </row>
    <row r="9" s="67" customFormat="1" ht="6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'[1]Ленина 61.5'!$G$37</f>
        <v>1856.829999999993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'[1]Ленина 61.5'!$G$38</f>
        <v>-327217.0147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11" s="67" customFormat="1" ht="29.25">
      <c r="A18" s="75" t="s">
        <v>14</v>
      </c>
      <c r="B18" s="41" t="s">
        <v>15</v>
      </c>
      <c r="C18" s="137">
        <f>C19+C20+C21+C22</f>
        <v>10.34</v>
      </c>
      <c r="D18" s="76">
        <v>478930.08</v>
      </c>
      <c r="E18" s="76">
        <v>493549.3</v>
      </c>
      <c r="F18" s="76">
        <f aca="true" t="shared" si="0" ref="F18:F24">D18</f>
        <v>478930.08</v>
      </c>
      <c r="G18" s="77">
        <f>D18-E18</f>
        <v>-14619.219999999972</v>
      </c>
      <c r="H18" s="78">
        <f>C18</f>
        <v>10.34</v>
      </c>
      <c r="I18" s="169"/>
      <c r="K18" s="67">
        <f>D18/12/J8</f>
        <v>10.217044261833449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160260.93586073502</v>
      </c>
      <c r="E19" s="83">
        <f>E18*I19</f>
        <v>165152.8605415861</v>
      </c>
      <c r="F19" s="83">
        <f t="shared" si="0"/>
        <v>160260.93586073502</v>
      </c>
      <c r="G19" s="84">
        <f>D19-E19</f>
        <v>-4891.92468085108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78277.74034816246</v>
      </c>
      <c r="E20" s="83">
        <f>E18*I20</f>
        <v>80667.14864603481</v>
      </c>
      <c r="F20" s="83">
        <f t="shared" si="0"/>
        <v>78277.74034816246</v>
      </c>
      <c r="G20" s="84">
        <f>D20-E20</f>
        <v>-2389.4082978723454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99584.10754352031</v>
      </c>
      <c r="E21" s="83">
        <f>E18*I21</f>
        <v>102623.88733075435</v>
      </c>
      <c r="F21" s="83">
        <f t="shared" si="0"/>
        <v>99584.10754352031</v>
      </c>
      <c r="G21" s="84">
        <f>D21-E21</f>
        <v>-3039.779787234045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140807.2962475822</v>
      </c>
      <c r="E22" s="83">
        <f>E18*I22</f>
        <v>145105.40348162476</v>
      </c>
      <c r="F22" s="83">
        <f t="shared" si="0"/>
        <v>140807.2962475822</v>
      </c>
      <c r="G22" s="84">
        <f>D22-E22</f>
        <v>-4298.107234042545</v>
      </c>
      <c r="H22" s="78">
        <f>C22</f>
        <v>3.04</v>
      </c>
      <c r="I22" s="67">
        <f>H22/H18</f>
        <v>0.2940038684719536</v>
      </c>
    </row>
    <row r="23" spans="1:9" ht="15">
      <c r="A23" s="41" t="s">
        <v>25</v>
      </c>
      <c r="B23" s="41" t="s">
        <v>26</v>
      </c>
      <c r="C23" s="143">
        <v>0</v>
      </c>
      <c r="D23" s="77">
        <v>0</v>
      </c>
      <c r="E23" s="77">
        <v>0</v>
      </c>
      <c r="F23" s="76">
        <f t="shared" si="0"/>
        <v>0</v>
      </c>
      <c r="G23" s="77">
        <f aca="true" t="shared" si="1" ref="G23:G32">D23-E23</f>
        <v>0</v>
      </c>
      <c r="H23" s="39"/>
      <c r="I23" s="39"/>
    </row>
    <row r="24" spans="1:9" ht="29.25">
      <c r="A24" s="41" t="s">
        <v>27</v>
      </c>
      <c r="B24" s="41" t="s">
        <v>420</v>
      </c>
      <c r="C24" s="143" t="s">
        <v>421</v>
      </c>
      <c r="D24" s="77">
        <v>10560</v>
      </c>
      <c r="E24" s="77">
        <v>10186.25</v>
      </c>
      <c r="F24" s="77">
        <f t="shared" si="0"/>
        <v>10560</v>
      </c>
      <c r="G24" s="77">
        <f t="shared" si="1"/>
        <v>373.75</v>
      </c>
      <c r="H24" s="39"/>
      <c r="I24" s="39"/>
    </row>
    <row r="25" spans="1:9" ht="15">
      <c r="A25" s="41" t="s">
        <v>29</v>
      </c>
      <c r="B25" s="41" t="s">
        <v>95</v>
      </c>
      <c r="C25" s="143">
        <v>0</v>
      </c>
      <c r="D25" s="77">
        <v>0</v>
      </c>
      <c r="E25" s="77">
        <v>129.93</v>
      </c>
      <c r="F25" s="77">
        <v>0</v>
      </c>
      <c r="G25" s="77">
        <f t="shared" si="1"/>
        <v>-129.93</v>
      </c>
      <c r="H25" s="39"/>
      <c r="I25" s="39"/>
    </row>
    <row r="26" spans="1:9" ht="15">
      <c r="A26" s="41" t="s">
        <v>31</v>
      </c>
      <c r="B26" s="41" t="s">
        <v>119</v>
      </c>
      <c r="C26" s="143">
        <v>2.06</v>
      </c>
      <c r="D26" s="77">
        <v>95469.92</v>
      </c>
      <c r="E26" s="77">
        <v>99691.77</v>
      </c>
      <c r="F26" s="87">
        <f>F44</f>
        <v>121580.93770000001</v>
      </c>
      <c r="G26" s="77">
        <f t="shared" si="1"/>
        <v>-4221.850000000006</v>
      </c>
      <c r="H26" s="39"/>
      <c r="I26" s="39"/>
    </row>
    <row r="27" spans="1:9" ht="15">
      <c r="A27" s="217">
        <v>6</v>
      </c>
      <c r="B27" s="86" t="s">
        <v>168</v>
      </c>
      <c r="C27" s="144">
        <v>0</v>
      </c>
      <c r="D27" s="77">
        <v>0</v>
      </c>
      <c r="E27" s="77">
        <v>0</v>
      </c>
      <c r="F27" s="87">
        <f>D27</f>
        <v>0</v>
      </c>
      <c r="G27" s="77">
        <f t="shared" si="1"/>
        <v>0</v>
      </c>
      <c r="H27" s="39"/>
      <c r="I27" s="39"/>
    </row>
    <row r="28" spans="1:9" ht="15">
      <c r="A28" s="217">
        <f>A27+1</f>
        <v>7</v>
      </c>
      <c r="B28" s="41" t="s">
        <v>36</v>
      </c>
      <c r="C28" s="144"/>
      <c r="D28" s="77">
        <f>SUM(D29:D32)</f>
        <v>2069407.6500000001</v>
      </c>
      <c r="E28" s="77">
        <f>SUM(E29:E32)</f>
        <v>2152520.31</v>
      </c>
      <c r="F28" s="77">
        <f>SUM(F29:F32)</f>
        <v>2069407.6500000001</v>
      </c>
      <c r="G28" s="77">
        <f t="shared" si="1"/>
        <v>-83112.65999999992</v>
      </c>
      <c r="H28" s="39"/>
      <c r="I28" s="39"/>
    </row>
    <row r="29" spans="1:7" ht="15">
      <c r="A29" s="218" t="s">
        <v>37</v>
      </c>
      <c r="B29" s="34" t="s">
        <v>96</v>
      </c>
      <c r="C29" s="293" t="s">
        <v>379</v>
      </c>
      <c r="D29" s="84">
        <v>29874.42</v>
      </c>
      <c r="E29" s="84">
        <v>28272.72</v>
      </c>
      <c r="F29" s="84">
        <f>D29</f>
        <v>29874.42</v>
      </c>
      <c r="G29" s="84">
        <f t="shared" si="1"/>
        <v>1601.699999999997</v>
      </c>
    </row>
    <row r="30" spans="1:7" ht="15">
      <c r="A30" s="218" t="s">
        <v>39</v>
      </c>
      <c r="B30" s="34" t="s">
        <v>142</v>
      </c>
      <c r="C30" s="293" t="s">
        <v>382</v>
      </c>
      <c r="D30" s="84">
        <v>311853.81</v>
      </c>
      <c r="E30" s="84">
        <v>303862.76</v>
      </c>
      <c r="F30" s="84">
        <f>D30</f>
        <v>311853.81</v>
      </c>
      <c r="G30" s="84">
        <f t="shared" si="1"/>
        <v>7991.049999999988</v>
      </c>
    </row>
    <row r="31" spans="1:7" ht="15">
      <c r="A31" s="218" t="s">
        <v>42</v>
      </c>
      <c r="B31" s="34" t="s">
        <v>143</v>
      </c>
      <c r="C31" s="294" t="s">
        <v>381</v>
      </c>
      <c r="D31" s="84">
        <v>480866.58</v>
      </c>
      <c r="E31" s="84">
        <v>505063.01</v>
      </c>
      <c r="F31" s="84">
        <f>D31</f>
        <v>480866.58</v>
      </c>
      <c r="G31" s="84">
        <f t="shared" si="1"/>
        <v>-24196.429999999993</v>
      </c>
    </row>
    <row r="32" spans="1:7" ht="15">
      <c r="A32" s="218" t="s">
        <v>41</v>
      </c>
      <c r="B32" s="34" t="s">
        <v>43</v>
      </c>
      <c r="C32" s="293" t="s">
        <v>380</v>
      </c>
      <c r="D32" s="84">
        <v>1246812.84</v>
      </c>
      <c r="E32" s="84">
        <v>1315321.82</v>
      </c>
      <c r="F32" s="84">
        <f>D32</f>
        <v>1246812.84</v>
      </c>
      <c r="G32" s="84">
        <f t="shared" si="1"/>
        <v>-68508.97999999998</v>
      </c>
    </row>
    <row r="33" spans="1:10" s="102" customFormat="1" ht="5.25" customHeight="1" thickBot="1">
      <c r="A33" s="104"/>
      <c r="B33" s="104"/>
      <c r="C33" s="104"/>
      <c r="D33" s="101"/>
      <c r="E33" s="101"/>
      <c r="F33" s="101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65">
        <v>443952.07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G14+E25-F25</f>
        <v>1986.7599999999932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-349106.1824</v>
      </c>
      <c r="H37" s="62"/>
      <c r="I37" s="62"/>
    </row>
    <row r="38" spans="1:9" s="67" customFormat="1" ht="15">
      <c r="A38" s="427" t="s">
        <v>489</v>
      </c>
      <c r="B38" s="428"/>
      <c r="C38" s="331"/>
      <c r="D38" s="331"/>
      <c r="E38" s="332"/>
      <c r="F38" s="332"/>
      <c r="G38" s="332"/>
      <c r="H38" s="62"/>
      <c r="I38" s="62"/>
    </row>
    <row r="39" spans="1:9" s="67" customFormat="1" ht="15">
      <c r="A39" s="429" t="s">
        <v>150</v>
      </c>
      <c r="B39" s="430"/>
      <c r="C39" s="322" t="s">
        <v>151</v>
      </c>
      <c r="D39" s="322" t="s">
        <v>152</v>
      </c>
      <c r="E39" s="323" t="s">
        <v>153</v>
      </c>
      <c r="F39" s="324" t="s">
        <v>154</v>
      </c>
      <c r="G39" s="323" t="s">
        <v>155</v>
      </c>
      <c r="H39" s="62"/>
      <c r="I39" s="62"/>
    </row>
    <row r="40" spans="1:9" s="67" customFormat="1" ht="15">
      <c r="A40" s="431"/>
      <c r="B40" s="432"/>
      <c r="C40" s="302">
        <f>129.2+93.9+27.4+27.4+27.4</f>
        <v>305.29999999999995</v>
      </c>
      <c r="D40" s="325">
        <f>E40/C40/12</f>
        <v>12.253313680532811</v>
      </c>
      <c r="E40" s="327">
        <f>18997.56+13807.04+4028.88+4028.88+4028.88</f>
        <v>44891.24</v>
      </c>
      <c r="F40" s="327">
        <f>18940.71+0+15000+15139.85+15000</f>
        <v>64080.56</v>
      </c>
      <c r="G40" s="325">
        <f>E40-F40</f>
        <v>-19189.32</v>
      </c>
      <c r="H40" s="62"/>
      <c r="I40" s="333">
        <f>129.2+93.9+27.4+27.4+27.4</f>
        <v>305.29999999999995</v>
      </c>
    </row>
    <row r="41" spans="1:9" ht="26.25" customHeight="1">
      <c r="A41" s="433" t="s">
        <v>44</v>
      </c>
      <c r="B41" s="433"/>
      <c r="C41" s="433"/>
      <c r="D41" s="433"/>
      <c r="E41" s="433"/>
      <c r="F41" s="433"/>
      <c r="G41" s="433"/>
      <c r="H41" s="433"/>
      <c r="I41" s="433"/>
    </row>
    <row r="42" ht="3.75" customHeight="1"/>
    <row r="43" spans="1:7" s="173" customFormat="1" ht="28.5" customHeight="1">
      <c r="A43" s="105" t="s">
        <v>11</v>
      </c>
      <c r="B43" s="394" t="s">
        <v>45</v>
      </c>
      <c r="C43" s="405"/>
      <c r="D43" s="105" t="s">
        <v>170</v>
      </c>
      <c r="E43" s="105" t="s">
        <v>169</v>
      </c>
      <c r="F43" s="394" t="s">
        <v>46</v>
      </c>
      <c r="G43" s="405"/>
    </row>
    <row r="44" spans="1:7" s="115" customFormat="1" ht="13.5" customHeight="1">
      <c r="A44" s="109" t="s">
        <v>47</v>
      </c>
      <c r="B44" s="396" t="s">
        <v>114</v>
      </c>
      <c r="C44" s="399"/>
      <c r="D44" s="111"/>
      <c r="E44" s="111"/>
      <c r="F44" s="411">
        <f>SUM(F45:L51)</f>
        <v>121580.93770000001</v>
      </c>
      <c r="G44" s="404"/>
    </row>
    <row r="45" spans="1:7" ht="13.5" customHeight="1">
      <c r="A45" s="34" t="s">
        <v>16</v>
      </c>
      <c r="B45" s="369" t="s">
        <v>282</v>
      </c>
      <c r="C45" s="371"/>
      <c r="D45" s="119" t="s">
        <v>174</v>
      </c>
      <c r="E45" s="119">
        <v>600</v>
      </c>
      <c r="F45" s="420">
        <v>5814</v>
      </c>
      <c r="G45" s="421"/>
    </row>
    <row r="46" spans="1:7" ht="13.5" customHeight="1">
      <c r="A46" s="34" t="s">
        <v>18</v>
      </c>
      <c r="B46" s="369" t="s">
        <v>588</v>
      </c>
      <c r="C46" s="371"/>
      <c r="D46" s="119" t="s">
        <v>240</v>
      </c>
      <c r="E46" s="119">
        <v>0.02</v>
      </c>
      <c r="F46" s="410">
        <v>2775.27</v>
      </c>
      <c r="G46" s="410"/>
    </row>
    <row r="47" spans="1:7" ht="13.5" customHeight="1">
      <c r="A47" s="34" t="s">
        <v>20</v>
      </c>
      <c r="B47" s="369" t="s">
        <v>607</v>
      </c>
      <c r="C47" s="371"/>
      <c r="D47" s="119" t="s">
        <v>240</v>
      </c>
      <c r="E47" s="119">
        <v>0.01</v>
      </c>
      <c r="F47" s="420">
        <v>5524.75</v>
      </c>
      <c r="G47" s="421"/>
    </row>
    <row r="48" spans="1:7" ht="13.5" customHeight="1">
      <c r="A48" s="34" t="s">
        <v>22</v>
      </c>
      <c r="B48" s="369" t="s">
        <v>580</v>
      </c>
      <c r="C48" s="415"/>
      <c r="D48" s="119" t="s">
        <v>586</v>
      </c>
      <c r="E48" s="154" t="s">
        <v>584</v>
      </c>
      <c r="F48" s="398">
        <v>6200</v>
      </c>
      <c r="G48" s="398"/>
    </row>
    <row r="49" spans="1:7" ht="13.5" customHeight="1">
      <c r="A49" s="34" t="s">
        <v>24</v>
      </c>
      <c r="B49" s="369" t="s">
        <v>801</v>
      </c>
      <c r="C49" s="415"/>
      <c r="D49" s="119"/>
      <c r="E49" s="154"/>
      <c r="F49" s="398">
        <v>68270</v>
      </c>
      <c r="G49" s="398"/>
    </row>
    <row r="50" spans="1:7" ht="13.5" customHeight="1">
      <c r="A50" s="34" t="s">
        <v>106</v>
      </c>
      <c r="B50" s="369" t="s">
        <v>796</v>
      </c>
      <c r="C50" s="415"/>
      <c r="D50" s="119"/>
      <c r="E50" s="154"/>
      <c r="F50" s="398">
        <v>32000</v>
      </c>
      <c r="G50" s="398"/>
    </row>
    <row r="51" spans="1:9" ht="13.5" customHeight="1">
      <c r="A51" s="34" t="s">
        <v>107</v>
      </c>
      <c r="B51" s="150" t="s">
        <v>198</v>
      </c>
      <c r="C51" s="151"/>
      <c r="D51" s="119"/>
      <c r="E51" s="119"/>
      <c r="F51" s="410">
        <f>E26*1%</f>
        <v>996.9177000000001</v>
      </c>
      <c r="G51" s="410"/>
      <c r="H51" s="67"/>
      <c r="I51" s="67"/>
    </row>
    <row r="52" spans="1:7" ht="13.5" customHeight="1">
      <c r="A52" s="67"/>
      <c r="B52" s="67"/>
      <c r="C52" s="67"/>
      <c r="D52" s="67"/>
      <c r="E52" s="67"/>
      <c r="F52" s="67"/>
      <c r="G52" s="67"/>
    </row>
    <row r="53" spans="1:7" ht="13.5" customHeight="1">
      <c r="A53" s="67" t="s">
        <v>55</v>
      </c>
      <c r="B53" s="67"/>
      <c r="C53" s="67" t="s">
        <v>49</v>
      </c>
      <c r="D53" s="67"/>
      <c r="E53" s="67"/>
      <c r="F53" s="67" t="s">
        <v>93</v>
      </c>
      <c r="G53" s="67"/>
    </row>
    <row r="54" spans="1:7" ht="13.5" customHeight="1">
      <c r="A54" s="67"/>
      <c r="B54" s="67"/>
      <c r="C54" s="67"/>
      <c r="D54" s="67"/>
      <c r="E54" s="67"/>
      <c r="F54" s="128" t="s">
        <v>516</v>
      </c>
      <c r="G54" s="67"/>
    </row>
    <row r="55" spans="1:7" ht="13.5" customHeight="1">
      <c r="A55" s="67" t="s">
        <v>50</v>
      </c>
      <c r="B55" s="67"/>
      <c r="C55" s="67"/>
      <c r="D55" s="67"/>
      <c r="E55" s="67"/>
      <c r="F55" s="67"/>
      <c r="G55" s="67"/>
    </row>
    <row r="56" spans="1:7" ht="13.5" customHeight="1">
      <c r="A56" s="67"/>
      <c r="B56" s="67"/>
      <c r="C56" s="130" t="s">
        <v>51</v>
      </c>
      <c r="D56" s="67"/>
      <c r="E56" s="130"/>
      <c r="F56" s="130"/>
      <c r="G56" s="130"/>
    </row>
    <row r="57" s="67" customFormat="1" ht="15"/>
    <row r="58" s="67" customFormat="1" ht="15"/>
    <row r="59" s="67" customFormat="1" ht="15"/>
  </sheetData>
  <sheetProtection/>
  <mergeCells count="28">
    <mergeCell ref="F44:G44"/>
    <mergeCell ref="F48:G48"/>
    <mergeCell ref="A12:I12"/>
    <mergeCell ref="A34:C34"/>
    <mergeCell ref="B45:C45"/>
    <mergeCell ref="B48:C48"/>
    <mergeCell ref="A38:B38"/>
    <mergeCell ref="A39:B40"/>
    <mergeCell ref="B50:C50"/>
    <mergeCell ref="F50:G50"/>
    <mergeCell ref="F51:G51"/>
    <mergeCell ref="B46:C46"/>
    <mergeCell ref="A41:I41"/>
    <mergeCell ref="F47:G47"/>
    <mergeCell ref="F43:G43"/>
    <mergeCell ref="B47:C47"/>
    <mergeCell ref="B43:C43"/>
    <mergeCell ref="B44:C44"/>
    <mergeCell ref="B49:C49"/>
    <mergeCell ref="F49:G49"/>
    <mergeCell ref="A11:I11"/>
    <mergeCell ref="A1:I1"/>
    <mergeCell ref="A2:I2"/>
    <mergeCell ref="A3:K3"/>
    <mergeCell ref="A5:I5"/>
    <mergeCell ref="A10:I10"/>
    <mergeCell ref="F45:G45"/>
    <mergeCell ref="F46:G46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7030A0"/>
  </sheetPr>
  <dimension ref="A1:N59"/>
  <sheetViews>
    <sheetView zoomScalePageLayoutView="0" workbookViewId="0" topLeftCell="A28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0.7109375" style="35" customWidth="1"/>
    <col min="3" max="3" width="14.140625" style="35" customWidth="1"/>
    <col min="4" max="5" width="12.7109375" style="35" customWidth="1"/>
    <col min="6" max="6" width="14.574218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4" width="9.140625" style="35" customWidth="1"/>
    <col min="15" max="15" width="11.421875" style="35" bestFit="1" customWidth="1"/>
    <col min="16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4.2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3" customHeight="1"/>
    <row r="7" spans="1:6" s="67" customFormat="1" ht="16.5" customHeight="1">
      <c r="A7" s="67" t="s">
        <v>2</v>
      </c>
      <c r="F7" s="128" t="s">
        <v>130</v>
      </c>
    </row>
    <row r="8" spans="1:11" s="67" customFormat="1" ht="15">
      <c r="A8" s="67" t="s">
        <v>3</v>
      </c>
      <c r="F8" s="299" t="s">
        <v>498</v>
      </c>
      <c r="I8" s="204">
        <v>40.7</v>
      </c>
      <c r="J8" s="204">
        <v>3068.5</v>
      </c>
      <c r="K8" s="204">
        <f>I8+J8</f>
        <v>3109.2</v>
      </c>
    </row>
    <row r="9" s="67" customFormat="1" ht="6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'[1]Билибина 26'!$G$36</f>
        <v>0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'[1]Билибина 26'!$G$37</f>
        <v>-108522.53530000002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29.25">
      <c r="A18" s="75" t="s">
        <v>14</v>
      </c>
      <c r="B18" s="41" t="s">
        <v>15</v>
      </c>
      <c r="C18" s="137">
        <f>C19+C20+C21+C22</f>
        <v>9.879999999999999</v>
      </c>
      <c r="D18" s="76">
        <v>375148.53</v>
      </c>
      <c r="E18" s="76">
        <v>356844.42</v>
      </c>
      <c r="F18" s="76">
        <f aca="true" t="shared" si="0" ref="F18:F25">D18</f>
        <v>375148.53</v>
      </c>
      <c r="G18" s="77">
        <f>D18-E18</f>
        <v>18304.110000000044</v>
      </c>
      <c r="H18" s="78">
        <f aca="true" t="shared" si="1" ref="H18:H23"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131377.92649797574</v>
      </c>
      <c r="E19" s="83">
        <f>E18*I19</f>
        <v>124967.78271255062</v>
      </c>
      <c r="F19" s="83">
        <f t="shared" si="0"/>
        <v>131377.92649797574</v>
      </c>
      <c r="G19" s="84">
        <f>D19-E19</f>
        <v>6410.143785425127</v>
      </c>
      <c r="H19" s="78">
        <f t="shared" si="1"/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64170.14328947369</v>
      </c>
      <c r="E20" s="83">
        <f>E18*I20</f>
        <v>61039.17710526316</v>
      </c>
      <c r="F20" s="83">
        <f t="shared" si="0"/>
        <v>64170.14328947369</v>
      </c>
      <c r="G20" s="84">
        <f>E20-D20</f>
        <v>-3130.9661842105343</v>
      </c>
      <c r="H20" s="78">
        <f t="shared" si="1"/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64170.14328947369</v>
      </c>
      <c r="E21" s="83">
        <f>E18*I21</f>
        <v>61039.17710526316</v>
      </c>
      <c r="F21" s="83">
        <f t="shared" si="0"/>
        <v>64170.14328947369</v>
      </c>
      <c r="G21" s="84">
        <f>E21-D21</f>
        <v>-3130.9661842105343</v>
      </c>
      <c r="H21" s="78">
        <f t="shared" si="1"/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115430.31692307694</v>
      </c>
      <c r="E22" s="83">
        <f>E18*I22</f>
        <v>109798.28307692308</v>
      </c>
      <c r="F22" s="83">
        <f t="shared" si="0"/>
        <v>115430.31692307694</v>
      </c>
      <c r="G22" s="84">
        <f>E22-D22</f>
        <v>-5632.033846153863</v>
      </c>
      <c r="H22" s="78">
        <f t="shared" si="1"/>
        <v>3.04</v>
      </c>
      <c r="I22" s="67">
        <f>H22/H18</f>
        <v>0.3076923076923077</v>
      </c>
    </row>
    <row r="23" spans="1:8" ht="26.25">
      <c r="A23" s="41" t="s">
        <v>25</v>
      </c>
      <c r="B23" s="142" t="s">
        <v>424</v>
      </c>
      <c r="C23" s="46">
        <v>2.62</v>
      </c>
      <c r="D23" s="77">
        <v>100318.56</v>
      </c>
      <c r="E23" s="77">
        <v>94762.65</v>
      </c>
      <c r="F23" s="77">
        <f t="shared" si="0"/>
        <v>100318.56</v>
      </c>
      <c r="G23" s="77">
        <f aca="true" t="shared" si="2" ref="G23:G32">D23-E23</f>
        <v>5555.9100000000035</v>
      </c>
      <c r="H23" s="35">
        <f t="shared" si="1"/>
        <v>2.62</v>
      </c>
    </row>
    <row r="24" spans="1:7" ht="1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2"/>
        <v>0</v>
      </c>
    </row>
    <row r="25" spans="1:7" ht="15">
      <c r="A25" s="41" t="s">
        <v>29</v>
      </c>
      <c r="B25" s="142" t="s">
        <v>168</v>
      </c>
      <c r="C25" s="143">
        <v>1902.11</v>
      </c>
      <c r="D25" s="77">
        <v>0</v>
      </c>
      <c r="E25" s="77">
        <v>0</v>
      </c>
      <c r="F25" s="77">
        <f t="shared" si="0"/>
        <v>0</v>
      </c>
      <c r="G25" s="77">
        <f t="shared" si="2"/>
        <v>0</v>
      </c>
    </row>
    <row r="26" spans="1:14" ht="15">
      <c r="A26" s="41" t="s">
        <v>31</v>
      </c>
      <c r="B26" s="142" t="s">
        <v>119</v>
      </c>
      <c r="C26" s="97">
        <v>1.86</v>
      </c>
      <c r="D26" s="77">
        <v>67980.24</v>
      </c>
      <c r="E26" s="77">
        <v>67228.62</v>
      </c>
      <c r="F26" s="87">
        <f>F44</f>
        <v>49589.8962</v>
      </c>
      <c r="G26" s="77">
        <f t="shared" si="2"/>
        <v>751.6200000000099</v>
      </c>
      <c r="N26" s="35">
        <v>0</v>
      </c>
    </row>
    <row r="27" spans="1:7" ht="15">
      <c r="A27" s="41" t="s">
        <v>33</v>
      </c>
      <c r="B27" s="136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2"/>
        <v>0</v>
      </c>
    </row>
    <row r="28" spans="1:7" ht="15">
      <c r="A28" s="41" t="s">
        <v>35</v>
      </c>
      <c r="B28" s="136" t="s">
        <v>36</v>
      </c>
      <c r="C28" s="97"/>
      <c r="D28" s="77">
        <f>SUM(D29:D32)</f>
        <v>1571135.76</v>
      </c>
      <c r="E28" s="77">
        <f>SUM(E29:E32)</f>
        <v>1583395.92</v>
      </c>
      <c r="F28" s="77">
        <f>SUM(F29:F32)</f>
        <v>1571135.76</v>
      </c>
      <c r="G28" s="77">
        <f t="shared" si="2"/>
        <v>-12260.159999999916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15768.5</v>
      </c>
      <c r="E29" s="84">
        <v>15252.33</v>
      </c>
      <c r="F29" s="84">
        <f>D29</f>
        <v>15768.5</v>
      </c>
      <c r="G29" s="84">
        <f t="shared" si="2"/>
        <v>516.1700000000001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454990.24</v>
      </c>
      <c r="E30" s="84">
        <v>461938.36</v>
      </c>
      <c r="F30" s="84">
        <f>D30</f>
        <v>454990.24</v>
      </c>
      <c r="G30" s="84">
        <f t="shared" si="2"/>
        <v>-6948.119999999995</v>
      </c>
    </row>
    <row r="31" spans="1:7" ht="15">
      <c r="A31" s="34" t="s">
        <v>42</v>
      </c>
      <c r="B31" s="34" t="s">
        <v>40</v>
      </c>
      <c r="C31" s="294">
        <v>0</v>
      </c>
      <c r="D31" s="84">
        <v>0</v>
      </c>
      <c r="E31" s="84">
        <v>0</v>
      </c>
      <c r="F31" s="84">
        <f>D31</f>
        <v>0</v>
      </c>
      <c r="G31" s="84">
        <f t="shared" si="2"/>
        <v>0</v>
      </c>
    </row>
    <row r="32" spans="1:7" ht="15">
      <c r="A32" s="34" t="s">
        <v>41</v>
      </c>
      <c r="B32" s="34" t="s">
        <v>43</v>
      </c>
      <c r="C32" s="293" t="s">
        <v>380</v>
      </c>
      <c r="D32" s="84">
        <v>1100377.02</v>
      </c>
      <c r="E32" s="84">
        <v>1106205.23</v>
      </c>
      <c r="F32" s="84">
        <f>D32</f>
        <v>1100377.02</v>
      </c>
      <c r="G32" s="84">
        <f t="shared" si="2"/>
        <v>-5828.209999999963</v>
      </c>
    </row>
    <row r="33" spans="1:7" ht="15.75" thickBot="1">
      <c r="A33" s="363" t="s">
        <v>378</v>
      </c>
      <c r="B33" s="364"/>
      <c r="C33" s="364"/>
      <c r="D33" s="365"/>
      <c r="E33" s="365"/>
      <c r="F33" s="365"/>
      <c r="G33" s="172"/>
    </row>
    <row r="34" spans="1:10" s="102" customFormat="1" ht="14.25" thickBot="1">
      <c r="A34" s="378" t="s">
        <v>383</v>
      </c>
      <c r="B34" s="379"/>
      <c r="C34" s="379"/>
      <c r="D34" s="65">
        <v>852526.88</v>
      </c>
      <c r="E34" s="66"/>
      <c r="F34" s="66"/>
      <c r="G34" s="66"/>
      <c r="H34" s="101"/>
      <c r="I34" s="101"/>
      <c r="J34" s="101"/>
    </row>
    <row r="35" spans="1:9" s="67" customFormat="1" ht="8.2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0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-90883.81150000003</v>
      </c>
      <c r="H37" s="62"/>
      <c r="I37" s="62"/>
    </row>
    <row r="38" spans="1:9" s="67" customFormat="1" ht="15">
      <c r="A38" s="427" t="s">
        <v>489</v>
      </c>
      <c r="B38" s="428"/>
      <c r="C38" s="331"/>
      <c r="D38" s="331"/>
      <c r="E38" s="332"/>
      <c r="F38" s="332"/>
      <c r="G38" s="332"/>
      <c r="H38" s="62"/>
      <c r="I38" s="62"/>
    </row>
    <row r="39" spans="1:9" s="67" customFormat="1" ht="15">
      <c r="A39" s="429" t="s">
        <v>150</v>
      </c>
      <c r="B39" s="430"/>
      <c r="C39" s="322" t="s">
        <v>151</v>
      </c>
      <c r="D39" s="322" t="s">
        <v>152</v>
      </c>
      <c r="E39" s="323" t="s">
        <v>153</v>
      </c>
      <c r="F39" s="324" t="s">
        <v>154</v>
      </c>
      <c r="G39" s="323" t="s">
        <v>155</v>
      </c>
      <c r="H39" s="62"/>
      <c r="I39" s="62"/>
    </row>
    <row r="40" spans="1:9" s="67" customFormat="1" ht="15">
      <c r="A40" s="431"/>
      <c r="B40" s="432"/>
      <c r="C40" s="302">
        <f>39.8+41.8</f>
        <v>81.6</v>
      </c>
      <c r="D40" s="325">
        <f>E40/C40/12</f>
        <v>11.586601307189545</v>
      </c>
      <c r="E40" s="327">
        <f>5533.76+5811.84</f>
        <v>11345.6</v>
      </c>
      <c r="F40" s="327">
        <f>5533.76+19607.08</f>
        <v>25140.840000000004</v>
      </c>
      <c r="G40" s="325">
        <f>E40-F40</f>
        <v>-13795.240000000003</v>
      </c>
      <c r="H40" s="62"/>
      <c r="I40" s="333">
        <f>39.8+41.8</f>
        <v>81.6</v>
      </c>
    </row>
    <row r="41" spans="1:9" ht="28.5" customHeight="1">
      <c r="A41" s="433" t="s">
        <v>44</v>
      </c>
      <c r="B41" s="433"/>
      <c r="C41" s="433"/>
      <c r="D41" s="433"/>
      <c r="E41" s="433"/>
      <c r="F41" s="433"/>
      <c r="G41" s="433"/>
      <c r="H41" s="433"/>
      <c r="I41" s="433"/>
    </row>
    <row r="42" ht="3.75" customHeight="1"/>
    <row r="43" spans="1:7" s="173" customFormat="1" ht="28.5" customHeight="1">
      <c r="A43" s="105" t="s">
        <v>11</v>
      </c>
      <c r="B43" s="394" t="s">
        <v>45</v>
      </c>
      <c r="C43" s="405"/>
      <c r="D43" s="105" t="s">
        <v>170</v>
      </c>
      <c r="E43" s="105" t="s">
        <v>169</v>
      </c>
      <c r="F43" s="394" t="s">
        <v>46</v>
      </c>
      <c r="G43" s="405"/>
    </row>
    <row r="44" spans="1:7" s="115" customFormat="1" ht="13.5" customHeight="1">
      <c r="A44" s="109" t="s">
        <v>47</v>
      </c>
      <c r="B44" s="396" t="s">
        <v>114</v>
      </c>
      <c r="C44" s="399"/>
      <c r="D44" s="111"/>
      <c r="E44" s="111"/>
      <c r="F44" s="411">
        <f>SUM(F45:L51)</f>
        <v>49589.8962</v>
      </c>
      <c r="G44" s="404"/>
    </row>
    <row r="45" spans="1:7" ht="27.75" customHeight="1">
      <c r="A45" s="34" t="s">
        <v>16</v>
      </c>
      <c r="B45" s="369" t="s">
        <v>528</v>
      </c>
      <c r="C45" s="371"/>
      <c r="D45" s="119" t="s">
        <v>248</v>
      </c>
      <c r="E45" s="119">
        <v>2</v>
      </c>
      <c r="F45" s="420">
        <v>2405.34</v>
      </c>
      <c r="G45" s="421"/>
    </row>
    <row r="46" spans="1:7" ht="39" customHeight="1">
      <c r="A46" s="34" t="s">
        <v>18</v>
      </c>
      <c r="B46" s="369" t="s">
        <v>589</v>
      </c>
      <c r="C46" s="371"/>
      <c r="D46" s="119" t="s">
        <v>240</v>
      </c>
      <c r="E46" s="119">
        <v>0.02</v>
      </c>
      <c r="F46" s="410">
        <v>3238.55</v>
      </c>
      <c r="G46" s="410"/>
    </row>
    <row r="47" spans="1:7" ht="13.5" customHeight="1">
      <c r="A47" s="34" t="s">
        <v>20</v>
      </c>
      <c r="B47" s="369" t="s">
        <v>590</v>
      </c>
      <c r="C47" s="371"/>
      <c r="D47" s="119" t="s">
        <v>240</v>
      </c>
      <c r="E47" s="119">
        <v>0.07</v>
      </c>
      <c r="F47" s="420">
        <v>8688.02</v>
      </c>
      <c r="G47" s="421"/>
    </row>
    <row r="48" spans="1:7" ht="13.5" customHeight="1">
      <c r="A48" s="34" t="s">
        <v>22</v>
      </c>
      <c r="B48" s="369" t="s">
        <v>591</v>
      </c>
      <c r="C48" s="415"/>
      <c r="D48" s="119" t="s">
        <v>505</v>
      </c>
      <c r="E48" s="154">
        <v>0.02</v>
      </c>
      <c r="F48" s="398">
        <v>14585.7</v>
      </c>
      <c r="G48" s="398"/>
    </row>
    <row r="49" spans="1:7" ht="13.5" customHeight="1">
      <c r="A49" s="34" t="s">
        <v>24</v>
      </c>
      <c r="B49" s="369" t="s">
        <v>792</v>
      </c>
      <c r="C49" s="415"/>
      <c r="D49" s="119"/>
      <c r="E49" s="154"/>
      <c r="F49" s="398">
        <v>12000</v>
      </c>
      <c r="G49" s="398"/>
    </row>
    <row r="50" spans="1:7" ht="13.5" customHeight="1">
      <c r="A50" s="34" t="s">
        <v>106</v>
      </c>
      <c r="B50" s="369" t="s">
        <v>796</v>
      </c>
      <c r="C50" s="415"/>
      <c r="D50" s="119"/>
      <c r="E50" s="154"/>
      <c r="F50" s="398">
        <v>8000</v>
      </c>
      <c r="G50" s="398"/>
    </row>
    <row r="51" spans="1:7" s="67" customFormat="1" ht="13.5" customHeight="1">
      <c r="A51" s="34" t="s">
        <v>107</v>
      </c>
      <c r="B51" s="150" t="s">
        <v>198</v>
      </c>
      <c r="C51" s="151"/>
      <c r="D51" s="119"/>
      <c r="E51" s="119"/>
      <c r="F51" s="410">
        <f>E26*1%</f>
        <v>672.2862</v>
      </c>
      <c r="G51" s="410"/>
    </row>
    <row r="52" spans="8:9" s="67" customFormat="1" ht="15">
      <c r="H52" s="35"/>
      <c r="I52" s="35"/>
    </row>
    <row r="53" spans="1:9" s="67" customFormat="1" ht="15">
      <c r="A53" s="67" t="s">
        <v>55</v>
      </c>
      <c r="C53" s="67" t="s">
        <v>49</v>
      </c>
      <c r="F53" s="67" t="s">
        <v>93</v>
      </c>
      <c r="H53" s="35"/>
      <c r="I53" s="35"/>
    </row>
    <row r="54" spans="6:9" s="67" customFormat="1" ht="15">
      <c r="F54" s="128" t="s">
        <v>516</v>
      </c>
      <c r="H54" s="35"/>
      <c r="I54" s="35"/>
    </row>
    <row r="55" spans="1:9" s="67" customFormat="1" ht="15">
      <c r="A55" s="67" t="s">
        <v>50</v>
      </c>
      <c r="H55" s="35"/>
      <c r="I55" s="35"/>
    </row>
    <row r="56" spans="1:7" ht="15">
      <c r="A56" s="67"/>
      <c r="B56" s="67"/>
      <c r="C56" s="130" t="s">
        <v>51</v>
      </c>
      <c r="D56" s="67"/>
      <c r="E56" s="130"/>
      <c r="F56" s="130"/>
      <c r="G56" s="130"/>
    </row>
    <row r="57" spans="1:9" ht="15">
      <c r="A57" s="67"/>
      <c r="B57" s="67"/>
      <c r="C57" s="67"/>
      <c r="D57" s="67"/>
      <c r="E57" s="67"/>
      <c r="F57" s="67"/>
      <c r="G57" s="67"/>
      <c r="H57" s="67"/>
      <c r="I57" s="67"/>
    </row>
    <row r="58" spans="1:9" ht="15">
      <c r="A58" s="67"/>
      <c r="B58" s="67"/>
      <c r="C58" s="67"/>
      <c r="D58" s="67"/>
      <c r="E58" s="67"/>
      <c r="F58" s="67"/>
      <c r="G58" s="67"/>
      <c r="H58" s="67"/>
      <c r="I58" s="67"/>
    </row>
    <row r="59" spans="1:9" ht="15">
      <c r="A59" s="67"/>
      <c r="B59" s="67"/>
      <c r="C59" s="67"/>
      <c r="D59" s="67"/>
      <c r="E59" s="67"/>
      <c r="F59" s="67"/>
      <c r="G59" s="67"/>
      <c r="H59" s="67"/>
      <c r="I59" s="67"/>
    </row>
  </sheetData>
  <sheetProtection/>
  <mergeCells count="29">
    <mergeCell ref="F51:G51"/>
    <mergeCell ref="B48:C48"/>
    <mergeCell ref="F48:G48"/>
    <mergeCell ref="F47:G47"/>
    <mergeCell ref="B43:C43"/>
    <mergeCell ref="B46:C46"/>
    <mergeCell ref="F46:G46"/>
    <mergeCell ref="B45:C45"/>
    <mergeCell ref="B47:C47"/>
    <mergeCell ref="F45:G45"/>
    <mergeCell ref="A11:I11"/>
    <mergeCell ref="A33:F33"/>
    <mergeCell ref="F44:G44"/>
    <mergeCell ref="A34:C34"/>
    <mergeCell ref="A41:I41"/>
    <mergeCell ref="F43:G43"/>
    <mergeCell ref="A38:B38"/>
    <mergeCell ref="A39:B40"/>
    <mergeCell ref="B44:C44"/>
    <mergeCell ref="F49:G49"/>
    <mergeCell ref="F50:G50"/>
    <mergeCell ref="B49:C49"/>
    <mergeCell ref="B50:C50"/>
    <mergeCell ref="A1:I1"/>
    <mergeCell ref="A2:I2"/>
    <mergeCell ref="A3:K3"/>
    <mergeCell ref="A5:I5"/>
    <mergeCell ref="A10:I10"/>
    <mergeCell ref="A12:I12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</sheetPr>
  <dimension ref="A1:K56"/>
  <sheetViews>
    <sheetView zoomScalePageLayoutView="0" workbookViewId="0" topLeftCell="A37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4.28125" style="35" customWidth="1"/>
    <col min="3" max="3" width="12.42187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3.42187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4.2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3" customHeight="1"/>
    <row r="7" spans="1:6" s="67" customFormat="1" ht="16.5" customHeight="1">
      <c r="A7" s="67" t="s">
        <v>2</v>
      </c>
      <c r="F7" s="128" t="s">
        <v>275</v>
      </c>
    </row>
    <row r="8" spans="1:6" s="67" customFormat="1" ht="15">
      <c r="A8" s="67" t="s">
        <v>3</v>
      </c>
      <c r="F8" s="299" t="s">
        <v>276</v>
      </c>
    </row>
    <row r="9" s="67" customFormat="1" ht="6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422</v>
      </c>
      <c r="B14" s="64"/>
      <c r="C14" s="64"/>
      <c r="D14" s="69"/>
      <c r="E14" s="70"/>
      <c r="F14" s="70"/>
      <c r="G14" s="146">
        <v>0</v>
      </c>
      <c r="H14" s="62"/>
      <c r="I14" s="62"/>
    </row>
    <row r="15" spans="1:9" s="67" customFormat="1" ht="15.75" thickBot="1">
      <c r="A15" s="63" t="s">
        <v>423</v>
      </c>
      <c r="B15" s="64"/>
      <c r="C15" s="64"/>
      <c r="D15" s="69"/>
      <c r="E15" s="70"/>
      <c r="F15" s="70"/>
      <c r="G15" s="146">
        <f>'[1]Московская 167'!$G$38</f>
        <v>29926.459000000003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29.25">
      <c r="A18" s="75" t="s">
        <v>14</v>
      </c>
      <c r="B18" s="41" t="s">
        <v>15</v>
      </c>
      <c r="C18" s="137">
        <f>C19+C20+C21+C22</f>
        <v>9.879999999999999</v>
      </c>
      <c r="D18" s="76">
        <v>401708.8</v>
      </c>
      <c r="E18" s="76">
        <v>399876.72</v>
      </c>
      <c r="F18" s="76">
        <f aca="true" t="shared" si="0" ref="F18:F26">D18</f>
        <v>401708.8</v>
      </c>
      <c r="G18" s="77">
        <f>D18-E18</f>
        <v>1832.0800000000163</v>
      </c>
      <c r="H18" s="78">
        <f aca="true" t="shared" si="1" ref="H18:H23"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140679.3975708502</v>
      </c>
      <c r="E19" s="83">
        <f>E18*I19</f>
        <v>140037.79870445345</v>
      </c>
      <c r="F19" s="83">
        <f t="shared" si="0"/>
        <v>140679.3975708502</v>
      </c>
      <c r="G19" s="84">
        <f>D19-E19</f>
        <v>641.5988663967582</v>
      </c>
      <c r="H19" s="78">
        <f t="shared" si="1"/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68713.34736842105</v>
      </c>
      <c r="E20" s="83">
        <f>E18*I20</f>
        <v>68399.9652631579</v>
      </c>
      <c r="F20" s="83">
        <f t="shared" si="0"/>
        <v>68713.34736842105</v>
      </c>
      <c r="G20" s="84">
        <f>D20-E20</f>
        <v>313.3821052631538</v>
      </c>
      <c r="H20" s="78">
        <f t="shared" si="1"/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68713.34736842105</v>
      </c>
      <c r="E21" s="83">
        <f>E18*I21</f>
        <v>68399.9652631579</v>
      </c>
      <c r="F21" s="83">
        <f t="shared" si="0"/>
        <v>68713.34736842105</v>
      </c>
      <c r="G21" s="84">
        <f>D21-E21</f>
        <v>313.3821052631538</v>
      </c>
      <c r="H21" s="78">
        <f t="shared" si="1"/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123602.7076923077</v>
      </c>
      <c r="E22" s="83">
        <f>E18*I22</f>
        <v>123038.99076923076</v>
      </c>
      <c r="F22" s="83">
        <f t="shared" si="0"/>
        <v>123602.7076923077</v>
      </c>
      <c r="G22" s="84">
        <f>D22-E22</f>
        <v>563.7169230769359</v>
      </c>
      <c r="H22" s="78">
        <f t="shared" si="1"/>
        <v>3.04</v>
      </c>
      <c r="I22" s="67">
        <f>H22/H18</f>
        <v>0.3076923076923077</v>
      </c>
    </row>
    <row r="23" spans="1:8" s="67" customFormat="1" ht="15">
      <c r="A23" s="41" t="s">
        <v>25</v>
      </c>
      <c r="B23" s="41" t="s">
        <v>26</v>
      </c>
      <c r="C23" s="137">
        <v>3.86</v>
      </c>
      <c r="D23" s="76">
        <v>156696.52</v>
      </c>
      <c r="E23" s="76">
        <v>156170.27</v>
      </c>
      <c r="F23" s="76">
        <f>D23</f>
        <v>156696.52</v>
      </c>
      <c r="G23" s="77">
        <f aca="true" t="shared" si="2" ref="G23:G33">D23-E23</f>
        <v>526.25</v>
      </c>
      <c r="H23" s="78">
        <f t="shared" si="1"/>
        <v>3.86</v>
      </c>
    </row>
    <row r="24" spans="1:7" ht="39.75" customHeight="1">
      <c r="A24" s="41" t="s">
        <v>27</v>
      </c>
      <c r="B24" s="86" t="s">
        <v>317</v>
      </c>
      <c r="C24" s="46">
        <v>2.51</v>
      </c>
      <c r="D24" s="77">
        <v>103140.24</v>
      </c>
      <c r="E24" s="77">
        <v>121874.81</v>
      </c>
      <c r="F24" s="77">
        <f t="shared" si="0"/>
        <v>103140.24</v>
      </c>
      <c r="G24" s="77">
        <f t="shared" si="2"/>
        <v>-18734.569999999992</v>
      </c>
    </row>
    <row r="25" spans="1:7" ht="15">
      <c r="A25" s="41" t="s">
        <v>29</v>
      </c>
      <c r="B25" s="86" t="s">
        <v>28</v>
      </c>
      <c r="C25" s="97">
        <v>0</v>
      </c>
      <c r="D25" s="77">
        <v>0</v>
      </c>
      <c r="E25" s="77">
        <v>0</v>
      </c>
      <c r="F25" s="77">
        <f t="shared" si="0"/>
        <v>0</v>
      </c>
      <c r="G25" s="77">
        <f t="shared" si="2"/>
        <v>0</v>
      </c>
    </row>
    <row r="26" spans="1:7" ht="15.75" customHeight="1">
      <c r="A26" s="41" t="s">
        <v>31</v>
      </c>
      <c r="B26" s="86" t="s">
        <v>168</v>
      </c>
      <c r="C26" s="143">
        <v>12.54</v>
      </c>
      <c r="D26" s="77">
        <v>0</v>
      </c>
      <c r="E26" s="77">
        <v>0</v>
      </c>
      <c r="F26" s="77">
        <f t="shared" si="0"/>
        <v>0</v>
      </c>
      <c r="G26" s="77">
        <f t="shared" si="2"/>
        <v>0</v>
      </c>
    </row>
    <row r="27" spans="1:7" ht="15">
      <c r="A27" s="41" t="s">
        <v>206</v>
      </c>
      <c r="B27" s="86" t="s">
        <v>119</v>
      </c>
      <c r="C27" s="97">
        <v>1.86</v>
      </c>
      <c r="D27" s="77">
        <v>75608.96</v>
      </c>
      <c r="E27" s="77">
        <v>75372.43</v>
      </c>
      <c r="F27" s="87">
        <f>F43</f>
        <v>146135.0643</v>
      </c>
      <c r="G27" s="77">
        <f t="shared" si="2"/>
        <v>236.5300000000134</v>
      </c>
    </row>
    <row r="28" spans="1:7" ht="15">
      <c r="A28" s="41" t="s">
        <v>277</v>
      </c>
      <c r="B28" s="41" t="s">
        <v>34</v>
      </c>
      <c r="C28" s="46">
        <v>0</v>
      </c>
      <c r="D28" s="77">
        <v>0</v>
      </c>
      <c r="E28" s="77">
        <v>0</v>
      </c>
      <c r="F28" s="87">
        <v>0</v>
      </c>
      <c r="G28" s="77">
        <f t="shared" si="2"/>
        <v>0</v>
      </c>
    </row>
    <row r="29" spans="1:7" ht="15">
      <c r="A29" s="41" t="s">
        <v>211</v>
      </c>
      <c r="B29" s="41" t="s">
        <v>36</v>
      </c>
      <c r="C29" s="97"/>
      <c r="D29" s="77">
        <f>SUM(D30:D33)</f>
        <v>98148.95999999999</v>
      </c>
      <c r="E29" s="77">
        <f>SUM(E30:E33)</f>
        <v>100957.57999999999</v>
      </c>
      <c r="F29" s="77">
        <f>SUM(F30:F33)</f>
        <v>98148.95999999999</v>
      </c>
      <c r="G29" s="77">
        <f t="shared" si="2"/>
        <v>-2808.6199999999953</v>
      </c>
    </row>
    <row r="30" spans="1:7" ht="15">
      <c r="A30" s="34" t="s">
        <v>213</v>
      </c>
      <c r="B30" s="34" t="s">
        <v>172</v>
      </c>
      <c r="C30" s="293" t="s">
        <v>379</v>
      </c>
      <c r="D30" s="84">
        <v>93493.2</v>
      </c>
      <c r="E30" s="84">
        <v>93123.15</v>
      </c>
      <c r="F30" s="84">
        <f>D30</f>
        <v>93493.2</v>
      </c>
      <c r="G30" s="84">
        <f t="shared" si="2"/>
        <v>370.0500000000029</v>
      </c>
    </row>
    <row r="31" spans="1:7" ht="15">
      <c r="A31" s="34" t="s">
        <v>214</v>
      </c>
      <c r="B31" s="34" t="s">
        <v>142</v>
      </c>
      <c r="C31" s="293" t="s">
        <v>382</v>
      </c>
      <c r="D31" s="84">
        <v>4655.76</v>
      </c>
      <c r="E31" s="84">
        <v>7834.43</v>
      </c>
      <c r="F31" s="84">
        <f>D31</f>
        <v>4655.76</v>
      </c>
      <c r="G31" s="84">
        <f t="shared" si="2"/>
        <v>-3178.67</v>
      </c>
    </row>
    <row r="32" spans="1:9" s="38" customFormat="1" ht="15">
      <c r="A32" s="34" t="s">
        <v>215</v>
      </c>
      <c r="B32" s="34" t="s">
        <v>40</v>
      </c>
      <c r="C32" s="145"/>
      <c r="D32" s="84">
        <v>0</v>
      </c>
      <c r="E32" s="84">
        <v>0</v>
      </c>
      <c r="F32" s="84">
        <f>D32</f>
        <v>0</v>
      </c>
      <c r="G32" s="84">
        <f t="shared" si="2"/>
        <v>0</v>
      </c>
      <c r="H32" s="35"/>
      <c r="I32" s="35"/>
    </row>
    <row r="33" spans="1:7" ht="23.25" customHeight="1">
      <c r="A33" s="34" t="s">
        <v>216</v>
      </c>
      <c r="B33" s="34" t="s">
        <v>43</v>
      </c>
      <c r="C33" s="99"/>
      <c r="D33" s="84">
        <v>0</v>
      </c>
      <c r="E33" s="84">
        <v>0</v>
      </c>
      <c r="F33" s="84">
        <f>D33</f>
        <v>0</v>
      </c>
      <c r="G33" s="84">
        <f t="shared" si="2"/>
        <v>0</v>
      </c>
    </row>
    <row r="34" spans="1:7" ht="23.25" customHeight="1" thickBot="1">
      <c r="A34" s="363" t="s">
        <v>378</v>
      </c>
      <c r="B34" s="364"/>
      <c r="C34" s="364"/>
      <c r="D34" s="365"/>
      <c r="E34" s="365"/>
      <c r="F34" s="365"/>
      <c r="G34" s="172"/>
    </row>
    <row r="35" spans="1:10" s="102" customFormat="1" ht="14.25" thickBot="1">
      <c r="A35" s="378" t="s">
        <v>383</v>
      </c>
      <c r="B35" s="379"/>
      <c r="C35" s="379"/>
      <c r="D35" s="65">
        <v>113542.24</v>
      </c>
      <c r="E35" s="66"/>
      <c r="F35" s="66"/>
      <c r="G35" s="66"/>
      <c r="H35" s="101"/>
      <c r="I35" s="101"/>
      <c r="J35" s="101"/>
    </row>
    <row r="36" spans="1:9" s="67" customFormat="1" ht="15.75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386</v>
      </c>
      <c r="B37" s="64"/>
      <c r="C37" s="64"/>
      <c r="D37" s="69"/>
      <c r="E37" s="70"/>
      <c r="F37" s="70"/>
      <c r="G37" s="146">
        <f>G14+E28-F28</f>
        <v>0</v>
      </c>
      <c r="H37" s="62"/>
      <c r="I37" s="62"/>
    </row>
    <row r="38" spans="1:9" s="67" customFormat="1" ht="15.75" thickBot="1">
      <c r="A38" s="63" t="s">
        <v>387</v>
      </c>
      <c r="B38" s="64"/>
      <c r="C38" s="64"/>
      <c r="D38" s="69"/>
      <c r="E38" s="70"/>
      <c r="F38" s="70"/>
      <c r="G38" s="146">
        <f>G15+E27-F27</f>
        <v>-40836.1753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29.25" customHeight="1">
      <c r="A40" s="433" t="s">
        <v>44</v>
      </c>
      <c r="B40" s="433"/>
      <c r="C40" s="433"/>
      <c r="D40" s="433"/>
      <c r="E40" s="433"/>
      <c r="F40" s="433"/>
      <c r="G40" s="433"/>
      <c r="H40" s="433"/>
      <c r="I40" s="433"/>
    </row>
    <row r="41" ht="26.25" customHeight="1"/>
    <row r="42" spans="1:9" ht="28.5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5"/>
      <c r="H42" s="173"/>
      <c r="I42" s="173"/>
    </row>
    <row r="43" spans="1:9" s="173" customFormat="1" ht="15">
      <c r="A43" s="109" t="s">
        <v>47</v>
      </c>
      <c r="B43" s="396" t="s">
        <v>114</v>
      </c>
      <c r="C43" s="399"/>
      <c r="D43" s="111"/>
      <c r="E43" s="111"/>
      <c r="F43" s="411">
        <f>SUM(F44:L49)</f>
        <v>146135.0643</v>
      </c>
      <c r="G43" s="404"/>
      <c r="H43" s="115"/>
      <c r="I43" s="115"/>
    </row>
    <row r="44" spans="1:9" s="115" customFormat="1" ht="27.75" customHeight="1">
      <c r="A44" s="34" t="s">
        <v>16</v>
      </c>
      <c r="B44" s="369" t="s">
        <v>841</v>
      </c>
      <c r="C44" s="371"/>
      <c r="D44" s="119" t="s">
        <v>249</v>
      </c>
      <c r="E44" s="119"/>
      <c r="F44" s="420">
        <v>87195.5</v>
      </c>
      <c r="G44" s="421"/>
      <c r="H44" s="35"/>
      <c r="I44" s="35"/>
    </row>
    <row r="45" spans="1:7" ht="26.25" customHeight="1">
      <c r="A45" s="34" t="s">
        <v>18</v>
      </c>
      <c r="B45" s="369" t="s">
        <v>528</v>
      </c>
      <c r="C45" s="371"/>
      <c r="D45" s="119" t="s">
        <v>171</v>
      </c>
      <c r="E45" s="119">
        <v>1</v>
      </c>
      <c r="F45" s="410">
        <v>690</v>
      </c>
      <c r="G45" s="410"/>
    </row>
    <row r="46" spans="1:7" ht="13.5" customHeight="1">
      <c r="A46" s="34" t="s">
        <v>20</v>
      </c>
      <c r="B46" s="369" t="s">
        <v>523</v>
      </c>
      <c r="C46" s="371"/>
      <c r="D46" s="119" t="s">
        <v>240</v>
      </c>
      <c r="E46" s="119">
        <v>0.06</v>
      </c>
      <c r="F46" s="420">
        <v>9495.84</v>
      </c>
      <c r="G46" s="421"/>
    </row>
    <row r="47" spans="1:7" ht="13.5" customHeight="1">
      <c r="A47" s="34" t="s">
        <v>22</v>
      </c>
      <c r="B47" s="369" t="s">
        <v>792</v>
      </c>
      <c r="C47" s="371"/>
      <c r="D47" s="119"/>
      <c r="E47" s="119"/>
      <c r="F47" s="420">
        <v>24000</v>
      </c>
      <c r="G47" s="421"/>
    </row>
    <row r="48" spans="1:7" ht="13.5" customHeight="1">
      <c r="A48" s="34" t="s">
        <v>24</v>
      </c>
      <c r="B48" s="369" t="s">
        <v>793</v>
      </c>
      <c r="C48" s="371"/>
      <c r="D48" s="119"/>
      <c r="E48" s="119"/>
      <c r="F48" s="420">
        <v>24000</v>
      </c>
      <c r="G48" s="421"/>
    </row>
    <row r="49" spans="1:7" s="67" customFormat="1" ht="15">
      <c r="A49" s="34" t="s">
        <v>106</v>
      </c>
      <c r="B49" s="150" t="s">
        <v>198</v>
      </c>
      <c r="C49" s="151"/>
      <c r="D49" s="119"/>
      <c r="E49" s="119"/>
      <c r="F49" s="410">
        <f>E27*1%</f>
        <v>753.7243</v>
      </c>
      <c r="G49" s="410"/>
    </row>
    <row r="50" spans="8:9" s="67" customFormat="1" ht="15">
      <c r="H50" s="35"/>
      <c r="I50" s="35"/>
    </row>
    <row r="51" spans="8:9" s="67" customFormat="1" ht="15">
      <c r="H51" s="35"/>
      <c r="I51" s="35"/>
    </row>
    <row r="52" spans="1:9" s="67" customFormat="1" ht="15">
      <c r="A52" s="67" t="s">
        <v>55</v>
      </c>
      <c r="C52" s="67" t="s">
        <v>49</v>
      </c>
      <c r="F52" s="67" t="s">
        <v>93</v>
      </c>
      <c r="H52" s="35"/>
      <c r="I52" s="35"/>
    </row>
    <row r="53" s="67" customFormat="1" ht="15">
      <c r="F53" s="128" t="s">
        <v>516</v>
      </c>
    </row>
    <row r="54" spans="1:7" ht="15">
      <c r="A54" s="67" t="s">
        <v>50</v>
      </c>
      <c r="B54" s="67"/>
      <c r="C54" s="67"/>
      <c r="D54" s="67"/>
      <c r="E54" s="67"/>
      <c r="F54" s="67"/>
      <c r="G54" s="67"/>
    </row>
    <row r="55" spans="1:7" ht="15">
      <c r="A55" s="67"/>
      <c r="B55" s="67"/>
      <c r="C55" s="130" t="s">
        <v>51</v>
      </c>
      <c r="D55" s="67"/>
      <c r="E55" s="130"/>
      <c r="F55" s="130"/>
      <c r="G55" s="130"/>
    </row>
    <row r="56" spans="1:7" ht="15">
      <c r="A56" s="67"/>
      <c r="B56" s="67"/>
      <c r="C56" s="67"/>
      <c r="D56" s="67"/>
      <c r="E56" s="67"/>
      <c r="F56" s="67"/>
      <c r="G56" s="67"/>
    </row>
  </sheetData>
  <sheetProtection/>
  <mergeCells count="25">
    <mergeCell ref="A1:I1"/>
    <mergeCell ref="A2:I2"/>
    <mergeCell ref="A3:K3"/>
    <mergeCell ref="A5:I5"/>
    <mergeCell ref="A10:I10"/>
    <mergeCell ref="A11:I11"/>
    <mergeCell ref="A12:I12"/>
    <mergeCell ref="A35:C35"/>
    <mergeCell ref="A40:I40"/>
    <mergeCell ref="B42:C42"/>
    <mergeCell ref="F42:G42"/>
    <mergeCell ref="A34:F34"/>
    <mergeCell ref="B43:C43"/>
    <mergeCell ref="F43:G43"/>
    <mergeCell ref="B44:C44"/>
    <mergeCell ref="F44:G44"/>
    <mergeCell ref="B45:C45"/>
    <mergeCell ref="F45:G45"/>
    <mergeCell ref="B47:C47"/>
    <mergeCell ref="F47:G47"/>
    <mergeCell ref="F49:G49"/>
    <mergeCell ref="B46:C46"/>
    <mergeCell ref="F46:G46"/>
    <mergeCell ref="B48:C48"/>
    <mergeCell ref="F48:G48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7030A0"/>
  </sheetPr>
  <dimension ref="A1:K55"/>
  <sheetViews>
    <sheetView zoomScalePageLayoutView="0" workbookViewId="0" topLeftCell="A37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4.28125" style="35" customWidth="1"/>
    <col min="3" max="3" width="12.42187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3.42187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6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4.2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3" customHeight="1"/>
    <row r="7" spans="1:6" s="67" customFormat="1" ht="16.5" customHeight="1">
      <c r="A7" s="67" t="s">
        <v>2</v>
      </c>
      <c r="F7" s="128" t="s">
        <v>131</v>
      </c>
    </row>
    <row r="8" spans="1:6" s="67" customFormat="1" ht="15">
      <c r="A8" s="67" t="s">
        <v>3</v>
      </c>
      <c r="F8" s="299" t="s">
        <v>425</v>
      </c>
    </row>
    <row r="9" s="67" customFormat="1" ht="6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'[1]Билибина 28'!$G$36</f>
        <v>0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'[1]Билибина 28'!$G$37</f>
        <v>7874.587599999999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67" customFormat="1" ht="29.25">
      <c r="A18" s="75" t="s">
        <v>14</v>
      </c>
      <c r="B18" s="41" t="s">
        <v>15</v>
      </c>
      <c r="C18" s="137">
        <f>C19+C20+C21+C22</f>
        <v>9.879999999999999</v>
      </c>
      <c r="D18" s="76">
        <v>367348.44</v>
      </c>
      <c r="E18" s="76">
        <v>377262.82</v>
      </c>
      <c r="F18" s="76">
        <f aca="true" t="shared" si="0" ref="F18:F25">D18</f>
        <v>367348.44</v>
      </c>
      <c r="G18" s="77">
        <f>D18-E18</f>
        <v>-9914.380000000005</v>
      </c>
      <c r="H18" s="78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128646.31603238867</v>
      </c>
      <c r="E19" s="83">
        <f>E18*I19</f>
        <v>132118.35599190285</v>
      </c>
      <c r="F19" s="83">
        <f t="shared" si="0"/>
        <v>128646.31603238867</v>
      </c>
      <c r="G19" s="84">
        <f>D19-E19</f>
        <v>-3472.039959514179</v>
      </c>
      <c r="H19" s="78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62835.917368421055</v>
      </c>
      <c r="E20" s="83">
        <f>E18*I20</f>
        <v>64531.79815789474</v>
      </c>
      <c r="F20" s="83">
        <f t="shared" si="0"/>
        <v>62835.917368421055</v>
      </c>
      <c r="G20" s="84">
        <f>D20-E20</f>
        <v>-1695.880789473682</v>
      </c>
      <c r="H20" s="78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62835.917368421055</v>
      </c>
      <c r="E21" s="83">
        <f>E18*I21</f>
        <v>64531.79815789474</v>
      </c>
      <c r="F21" s="83">
        <f t="shared" si="0"/>
        <v>62835.917368421055</v>
      </c>
      <c r="G21" s="84">
        <f>D21-E21</f>
        <v>-1695.880789473682</v>
      </c>
      <c r="H21" s="78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113030.28923076924</v>
      </c>
      <c r="E22" s="83">
        <f>E18*I22</f>
        <v>116080.8676923077</v>
      </c>
      <c r="F22" s="83">
        <f t="shared" si="0"/>
        <v>113030.28923076924</v>
      </c>
      <c r="G22" s="84">
        <f>D22-E22</f>
        <v>-3050.578461538462</v>
      </c>
      <c r="H22" s="78">
        <f>C22</f>
        <v>3.04</v>
      </c>
      <c r="I22" s="67">
        <f>H22/H18</f>
        <v>0.3076923076923077</v>
      </c>
    </row>
    <row r="23" spans="1:7" ht="39.75" customHeight="1">
      <c r="A23" s="41" t="s">
        <v>25</v>
      </c>
      <c r="B23" s="142" t="s">
        <v>274</v>
      </c>
      <c r="C23" s="46" t="s">
        <v>273</v>
      </c>
      <c r="D23" s="77">
        <v>107647.52</v>
      </c>
      <c r="E23" s="77">
        <v>104738.31</v>
      </c>
      <c r="F23" s="77">
        <f t="shared" si="0"/>
        <v>107647.52</v>
      </c>
      <c r="G23" s="77">
        <f aca="true" t="shared" si="1" ref="G23:G32">D23-E23</f>
        <v>2909.2100000000064</v>
      </c>
    </row>
    <row r="24" spans="1:7" ht="1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.75" customHeight="1">
      <c r="A25" s="41" t="s">
        <v>29</v>
      </c>
      <c r="B25" s="142" t="s">
        <v>168</v>
      </c>
      <c r="C25" s="143">
        <v>0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2" t="s">
        <v>119</v>
      </c>
      <c r="C26" s="97">
        <v>1.86</v>
      </c>
      <c r="D26" s="77">
        <v>69231.16</v>
      </c>
      <c r="E26" s="77">
        <v>70763.33</v>
      </c>
      <c r="F26" s="87">
        <f>F41</f>
        <v>70476.9633</v>
      </c>
      <c r="G26" s="77">
        <f t="shared" si="1"/>
        <v>-1532.1699999999983</v>
      </c>
    </row>
    <row r="27" spans="1:7" ht="15">
      <c r="A27" s="41" t="s">
        <v>33</v>
      </c>
      <c r="B27" s="136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>
      <c r="A28" s="41" t="s">
        <v>35</v>
      </c>
      <c r="B28" s="136" t="s">
        <v>36</v>
      </c>
      <c r="C28" s="97"/>
      <c r="D28" s="77">
        <f>SUM(D29:D32)</f>
        <v>1135973.33</v>
      </c>
      <c r="E28" s="77">
        <f>SUM(E29:E32)</f>
        <v>1150679.35</v>
      </c>
      <c r="F28" s="77">
        <f>SUM(F29:F32)</f>
        <v>1135973.33</v>
      </c>
      <c r="G28" s="77">
        <f t="shared" si="1"/>
        <v>-14706.020000000019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35016.96</v>
      </c>
      <c r="E29" s="84">
        <v>35988.37</v>
      </c>
      <c r="F29" s="84">
        <f>D29</f>
        <v>35016.96</v>
      </c>
      <c r="G29" s="84">
        <f t="shared" si="1"/>
        <v>-971.4100000000035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423197.35</v>
      </c>
      <c r="E30" s="84">
        <v>421567.88</v>
      </c>
      <c r="F30" s="84">
        <f>D30</f>
        <v>423197.35</v>
      </c>
      <c r="G30" s="84">
        <f t="shared" si="1"/>
        <v>1629.469999999972</v>
      </c>
    </row>
    <row r="31" spans="1:9" s="38" customFormat="1" ht="15">
      <c r="A31" s="34" t="s">
        <v>42</v>
      </c>
      <c r="B31" s="34" t="s">
        <v>40</v>
      </c>
      <c r="C31" s="294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  <c r="H31" s="35"/>
      <c r="I31" s="35"/>
    </row>
    <row r="32" spans="1:7" ht="23.25" customHeight="1" thickBot="1">
      <c r="A32" s="34" t="s">
        <v>41</v>
      </c>
      <c r="B32" s="34" t="s">
        <v>43</v>
      </c>
      <c r="C32" s="293" t="s">
        <v>380</v>
      </c>
      <c r="D32" s="84">
        <v>677759.02</v>
      </c>
      <c r="E32" s="84">
        <v>693123.1</v>
      </c>
      <c r="F32" s="84">
        <f>D32</f>
        <v>677759.02</v>
      </c>
      <c r="G32" s="84">
        <f t="shared" si="1"/>
        <v>-15364.079999999958</v>
      </c>
    </row>
    <row r="33" spans="1:10" s="102" customFormat="1" ht="14.25" thickBot="1">
      <c r="A33" s="378" t="s">
        <v>383</v>
      </c>
      <c r="B33" s="379"/>
      <c r="C33" s="379"/>
      <c r="D33" s="65">
        <v>671272.34</v>
      </c>
      <c r="E33" s="66"/>
      <c r="F33" s="66"/>
      <c r="G33" s="66"/>
      <c r="H33" s="101"/>
      <c r="I33" s="101"/>
      <c r="J33" s="101"/>
    </row>
    <row r="34" spans="1:9" s="67" customFormat="1" ht="15.75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386</v>
      </c>
      <c r="B35" s="64"/>
      <c r="C35" s="64"/>
      <c r="D35" s="69"/>
      <c r="E35" s="70"/>
      <c r="F35" s="70"/>
      <c r="G35" s="146">
        <f>G14+E27-F27</f>
        <v>0</v>
      </c>
      <c r="H35" s="62"/>
      <c r="I35" s="62"/>
    </row>
    <row r="36" spans="1:9" s="67" customFormat="1" ht="15.75" thickBot="1">
      <c r="A36" s="63" t="s">
        <v>387</v>
      </c>
      <c r="B36" s="64"/>
      <c r="C36" s="64"/>
      <c r="D36" s="69"/>
      <c r="E36" s="70"/>
      <c r="F36" s="70"/>
      <c r="G36" s="146">
        <f>G15+E26-F26</f>
        <v>8160.954299999998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s="67" customFormat="1" ht="29.25" customHeight="1">
      <c r="A38" s="433" t="s">
        <v>44</v>
      </c>
      <c r="B38" s="433"/>
      <c r="C38" s="433"/>
      <c r="D38" s="433"/>
      <c r="E38" s="433"/>
      <c r="F38" s="433"/>
      <c r="G38" s="433"/>
      <c r="H38" s="433"/>
      <c r="I38" s="433"/>
    </row>
    <row r="39" ht="26.25" customHeight="1"/>
    <row r="40" spans="1:9" ht="28.5">
      <c r="A40" s="105" t="s">
        <v>11</v>
      </c>
      <c r="B40" s="394" t="s">
        <v>45</v>
      </c>
      <c r="C40" s="405"/>
      <c r="D40" s="105" t="s">
        <v>170</v>
      </c>
      <c r="E40" s="105" t="s">
        <v>169</v>
      </c>
      <c r="F40" s="394" t="s">
        <v>46</v>
      </c>
      <c r="G40" s="405"/>
      <c r="H40" s="173"/>
      <c r="I40" s="173"/>
    </row>
    <row r="41" spans="1:9" s="173" customFormat="1" ht="15">
      <c r="A41" s="109" t="s">
        <v>47</v>
      </c>
      <c r="B41" s="396" t="s">
        <v>114</v>
      </c>
      <c r="C41" s="399"/>
      <c r="D41" s="111"/>
      <c r="E41" s="111"/>
      <c r="F41" s="411">
        <f>SUM(F42:L48)</f>
        <v>70476.9633</v>
      </c>
      <c r="G41" s="404"/>
      <c r="H41" s="115"/>
      <c r="I41" s="115"/>
    </row>
    <row r="42" spans="1:9" s="115" customFormat="1" ht="27.75" customHeight="1">
      <c r="A42" s="34" t="s">
        <v>16</v>
      </c>
      <c r="B42" s="369" t="s">
        <v>528</v>
      </c>
      <c r="C42" s="371"/>
      <c r="D42" s="119" t="s">
        <v>248</v>
      </c>
      <c r="E42" s="119">
        <v>1</v>
      </c>
      <c r="F42" s="420">
        <v>690</v>
      </c>
      <c r="G42" s="421"/>
      <c r="H42" s="35"/>
      <c r="I42" s="35"/>
    </row>
    <row r="43" spans="1:7" ht="13.5" customHeight="1">
      <c r="A43" s="34" t="s">
        <v>18</v>
      </c>
      <c r="B43" s="369" t="s">
        <v>528</v>
      </c>
      <c r="C43" s="371"/>
      <c r="D43" s="119" t="s">
        <v>248</v>
      </c>
      <c r="E43" s="119">
        <v>1</v>
      </c>
      <c r="F43" s="410">
        <v>2405.34</v>
      </c>
      <c r="G43" s="410"/>
    </row>
    <row r="44" spans="1:7" ht="13.5" customHeight="1">
      <c r="A44" s="34" t="s">
        <v>20</v>
      </c>
      <c r="B44" s="369" t="s">
        <v>592</v>
      </c>
      <c r="C44" s="371"/>
      <c r="D44" s="119" t="s">
        <v>505</v>
      </c>
      <c r="E44" s="119">
        <v>0.01</v>
      </c>
      <c r="F44" s="420">
        <v>11173.99</v>
      </c>
      <c r="G44" s="421"/>
    </row>
    <row r="45" spans="1:7" ht="13.5" customHeight="1">
      <c r="A45" s="34" t="s">
        <v>22</v>
      </c>
      <c r="B45" s="369" t="s">
        <v>792</v>
      </c>
      <c r="C45" s="415"/>
      <c r="D45" s="119"/>
      <c r="E45" s="119"/>
      <c r="F45" s="420">
        <v>12000</v>
      </c>
      <c r="G45" s="421"/>
    </row>
    <row r="46" spans="1:7" ht="13.5" customHeight="1">
      <c r="A46" s="34" t="s">
        <v>24</v>
      </c>
      <c r="B46" s="369" t="s">
        <v>175</v>
      </c>
      <c r="C46" s="415"/>
      <c r="D46" s="119"/>
      <c r="E46" s="154"/>
      <c r="F46" s="398">
        <v>33500</v>
      </c>
      <c r="G46" s="398"/>
    </row>
    <row r="47" spans="1:7" ht="13.5" customHeight="1">
      <c r="A47" s="34" t="s">
        <v>106</v>
      </c>
      <c r="B47" s="369" t="s">
        <v>840</v>
      </c>
      <c r="C47" s="415"/>
      <c r="D47" s="119"/>
      <c r="E47" s="154"/>
      <c r="F47" s="398">
        <v>10000</v>
      </c>
      <c r="G47" s="398"/>
    </row>
    <row r="48" spans="1:7" s="67" customFormat="1" ht="15">
      <c r="A48" s="34" t="s">
        <v>107</v>
      </c>
      <c r="B48" s="150" t="s">
        <v>198</v>
      </c>
      <c r="C48" s="151"/>
      <c r="D48" s="119"/>
      <c r="E48" s="119"/>
      <c r="F48" s="410">
        <f>E26*1%</f>
        <v>707.6333000000001</v>
      </c>
      <c r="G48" s="410"/>
    </row>
    <row r="49" spans="8:9" s="67" customFormat="1" ht="15">
      <c r="H49" s="35"/>
      <c r="I49" s="35"/>
    </row>
    <row r="50" spans="8:9" s="67" customFormat="1" ht="15">
      <c r="H50" s="35"/>
      <c r="I50" s="35"/>
    </row>
    <row r="51" spans="1:9" s="67" customFormat="1" ht="15">
      <c r="A51" s="67" t="s">
        <v>55</v>
      </c>
      <c r="C51" s="67" t="s">
        <v>49</v>
      </c>
      <c r="F51" s="67" t="s">
        <v>93</v>
      </c>
      <c r="H51" s="35"/>
      <c r="I51" s="35"/>
    </row>
    <row r="52" s="67" customFormat="1" ht="15">
      <c r="F52" s="128" t="s">
        <v>516</v>
      </c>
    </row>
    <row r="53" spans="1:7" ht="15">
      <c r="A53" s="67" t="s">
        <v>50</v>
      </c>
      <c r="B53" s="67"/>
      <c r="C53" s="67"/>
      <c r="D53" s="67"/>
      <c r="E53" s="67"/>
      <c r="F53" s="67"/>
      <c r="G53" s="67"/>
    </row>
    <row r="54" spans="1:7" ht="15">
      <c r="A54" s="67"/>
      <c r="B54" s="67"/>
      <c r="C54" s="130" t="s">
        <v>51</v>
      </c>
      <c r="D54" s="67"/>
      <c r="E54" s="130"/>
      <c r="F54" s="130"/>
      <c r="G54" s="130"/>
    </row>
    <row r="55" spans="1:7" ht="15">
      <c r="A55" s="67"/>
      <c r="B55" s="67"/>
      <c r="C55" s="67"/>
      <c r="D55" s="67"/>
      <c r="E55" s="67"/>
      <c r="F55" s="67"/>
      <c r="G55" s="67"/>
    </row>
  </sheetData>
  <sheetProtection/>
  <mergeCells count="26">
    <mergeCell ref="F48:G48"/>
    <mergeCell ref="B44:C44"/>
    <mergeCell ref="F44:G44"/>
    <mergeCell ref="F41:G41"/>
    <mergeCell ref="F43:G43"/>
    <mergeCell ref="B43:C43"/>
    <mergeCell ref="B47:C47"/>
    <mergeCell ref="F47:G47"/>
    <mergeCell ref="A1:I1"/>
    <mergeCell ref="A2:I2"/>
    <mergeCell ref="A3:K3"/>
    <mergeCell ref="A5:I5"/>
    <mergeCell ref="F42:G42"/>
    <mergeCell ref="A33:C33"/>
    <mergeCell ref="A10:I10"/>
    <mergeCell ref="A11:I11"/>
    <mergeCell ref="B41:C41"/>
    <mergeCell ref="B42:C42"/>
    <mergeCell ref="A12:I12"/>
    <mergeCell ref="A38:I38"/>
    <mergeCell ref="F40:G40"/>
    <mergeCell ref="B40:C40"/>
    <mergeCell ref="B46:C46"/>
    <mergeCell ref="F46:G46"/>
    <mergeCell ref="B45:C45"/>
    <mergeCell ref="F45:G45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8">
      <selection activeCell="F46" sqref="F46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7109375" style="1" customWidth="1"/>
    <col min="4" max="4" width="13.421875" style="1" customWidth="1"/>
    <col min="5" max="5" width="13.00390625" style="1" customWidth="1"/>
    <col min="6" max="6" width="11.57421875" style="1" customWidth="1"/>
    <col min="7" max="7" width="12.00390625" style="1" customWidth="1"/>
    <col min="8" max="8" width="12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484" t="s">
        <v>0</v>
      </c>
      <c r="B1" s="484"/>
      <c r="C1" s="484"/>
      <c r="D1" s="484"/>
      <c r="E1" s="484"/>
      <c r="F1" s="484"/>
      <c r="G1" s="484"/>
      <c r="H1" s="484"/>
      <c r="I1" s="484"/>
    </row>
    <row r="2" spans="1:9" ht="15">
      <c r="A2" s="484" t="s">
        <v>52</v>
      </c>
      <c r="B2" s="484"/>
      <c r="C2" s="484"/>
      <c r="D2" s="484"/>
      <c r="E2" s="484"/>
      <c r="F2" s="484"/>
      <c r="G2" s="484"/>
      <c r="H2" s="484"/>
      <c r="I2" s="484"/>
    </row>
    <row r="3" spans="1:9" ht="15">
      <c r="A3" s="484" t="s">
        <v>98</v>
      </c>
      <c r="B3" s="484"/>
      <c r="C3" s="484"/>
      <c r="D3" s="484"/>
      <c r="E3" s="484"/>
      <c r="F3" s="484"/>
      <c r="G3" s="484"/>
      <c r="H3" s="484"/>
      <c r="I3" s="484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485" t="s">
        <v>1</v>
      </c>
      <c r="B5" s="484"/>
      <c r="C5" s="484"/>
      <c r="D5" s="484"/>
      <c r="E5" s="484"/>
      <c r="F5" s="484"/>
      <c r="G5" s="484"/>
      <c r="H5" s="484"/>
      <c r="I5" s="484"/>
    </row>
    <row r="7" spans="1:6" s="3" customFormat="1" ht="15">
      <c r="A7" s="3" t="s">
        <v>2</v>
      </c>
      <c r="F7" s="4"/>
    </row>
    <row r="8" spans="1:6" s="3" customFormat="1" ht="15">
      <c r="A8" s="3" t="s">
        <v>3</v>
      </c>
      <c r="F8" s="4"/>
    </row>
    <row r="9" s="3" customFormat="1" ht="15">
      <c r="A9" s="3" t="s">
        <v>4</v>
      </c>
    </row>
    <row r="10" spans="1:6" s="3" customFormat="1" ht="15">
      <c r="A10" s="3" t="s">
        <v>5</v>
      </c>
      <c r="F10" s="4" t="s">
        <v>6</v>
      </c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460" t="s">
        <v>8</v>
      </c>
      <c r="B13" s="460"/>
      <c r="C13" s="460"/>
      <c r="D13" s="460"/>
      <c r="E13" s="460"/>
      <c r="F13" s="460"/>
      <c r="G13" s="460"/>
      <c r="H13" s="460"/>
      <c r="I13" s="460"/>
    </row>
    <row r="14" spans="1:9" s="3" customFormat="1" ht="15">
      <c r="A14" s="460" t="s">
        <v>9</v>
      </c>
      <c r="B14" s="460"/>
      <c r="C14" s="460"/>
      <c r="D14" s="460"/>
      <c r="E14" s="460"/>
      <c r="F14" s="460"/>
      <c r="G14" s="460"/>
      <c r="H14" s="460"/>
      <c r="I14" s="460"/>
    </row>
    <row r="15" spans="1:9" s="3" customFormat="1" ht="15">
      <c r="A15" s="460" t="s">
        <v>10</v>
      </c>
      <c r="B15" s="460"/>
      <c r="C15" s="460"/>
      <c r="D15" s="460"/>
      <c r="E15" s="460"/>
      <c r="F15" s="460"/>
      <c r="G15" s="460"/>
      <c r="H15" s="460"/>
      <c r="I15" s="460"/>
    </row>
    <row r="16" s="3" customFormat="1" ht="15"/>
    <row r="17" spans="1:7" s="14" customFormat="1" ht="52.5" customHeight="1">
      <c r="A17" s="5" t="s">
        <v>11</v>
      </c>
      <c r="B17" s="5" t="s">
        <v>12</v>
      </c>
      <c r="C17" s="5" t="s">
        <v>94</v>
      </c>
      <c r="D17" s="5" t="s">
        <v>115</v>
      </c>
      <c r="E17" s="5" t="s">
        <v>116</v>
      </c>
      <c r="F17" s="13" t="s">
        <v>117</v>
      </c>
      <c r="G17" s="5" t="s">
        <v>118</v>
      </c>
    </row>
    <row r="18" spans="1:9" s="3" customFormat="1" ht="30">
      <c r="A18" s="6" t="s">
        <v>14</v>
      </c>
      <c r="B18" s="7" t="s">
        <v>15</v>
      </c>
      <c r="C18" s="25">
        <v>6.75</v>
      </c>
      <c r="D18" s="8" t="e">
        <f>'Телевизионная 2а'!D17+'Пионерская 16'!D18+' Пионерская 1318 кв.1-50'!D18+'Багговута 12'!D18+'Пионерская 15'!D17+'Социалистическая 3'!D18+'Социалистическая 4'!D18+'Социалистическая 6'!D18+'Социалистическая 6 к.1'!D18+'Социалистическая 9'!D18+'Социалистическая 12'!D18+'Телевизионная 2'!D18+'Телевизионная 4'!D18+'Чичерина 7а'!D18+'Чичерина 8'!D18+#REF!+'Чичерина 16 к. 1'!D18+'пер.Чичерина 24'!D18+'пер. Чичерина 28'!D18+'Калинина 12'!D18+'Калинина 18'!D18+'Калинина 23'!D18+'Пионерская 9'!D18+'Высокая 4'!D18+'Пухова 15'!D18+#REF!+#REF!+'Пухова 17'!D18+'Калинина 4'!D18+'Пионерская 18'!D18+'Чичерина 12 к.1'!D18+'Телевизионная 6 к.1'!D18+#REF!+'Пионерская 2'!D18+'Телевизионная 2 к.1'!D18+'Чичерина 16'!D18+'Чичерина 22'!D18+#REF!+'Ленина 68,8'!D18+'Ленина 67'!D18+'Огарева 20'!D17+'Пролетарская 40'!D17+'Чижевского 4'!D18</f>
        <v>#REF!</v>
      </c>
      <c r="E18" s="8" t="e">
        <f>'Телевизионная 2а'!E17+'Пионерская 16'!E18+' Пионерская 1318 кв.1-50'!E18+'Багговута 12'!E18+'Пионерская 15'!E17+'Социалистическая 3'!E18+'Социалистическая 4'!E18+'Социалистическая 6'!E18+'Социалистическая 6 к.1'!E18+'Социалистическая 9'!E18+'Социалистическая 12'!E18+'Телевизионная 2'!E18+'Телевизионная 4'!E18+'Чичерина 7а'!E18+'Чичерина 8'!E18+#REF!+'Чичерина 16 к. 1'!E18+'пер.Чичерина 24'!E18+'пер. Чичерина 28'!E18+'Калинина 12'!E18+'Калинина 18'!E18+'Калинина 23'!E18+'Пионерская 9'!E18+'Высокая 4'!E18+'Пухова 15'!E18+#REF!+#REF!+'Пухова 17'!E18+'Калинина 4'!E18+'Пионерская 18'!E18+'Чичерина 12 к.1'!E18+'Телевизионная 6 к.1'!E18+#REF!+'Пионерская 2'!E18+'Телевизионная 2 к.1'!E18+'Чичерина 16'!E18+'Чичерина 22'!E18+#REF!+'Ленина 68,8'!E18+'Ленина 67'!E18+'Огарева 20'!E17+'Пролетарская 40'!E17+'Чижевского 4'!E18</f>
        <v>#REF!</v>
      </c>
      <c r="F18" s="8" t="e">
        <f>'Телевизионная 2а'!F17+'Пионерская 16'!F18+' Пионерская 1318 кв.1-50'!F18+'Багговута 12'!F18+'Пионерская 15'!F17+'Социалистическая 3'!F18+'Социалистическая 4'!F18+'Социалистическая 6'!F18+'Социалистическая 6 к.1'!F18+'Социалистическая 9'!F18+'Социалистическая 12'!F18+'Телевизионная 2'!F18+'Телевизионная 4'!F18+'Чичерина 7а'!F18+'Чичерина 8'!F18+#REF!+'Чичерина 16 к. 1'!F18+'пер.Чичерина 24'!F18+'пер. Чичерина 28'!F18+'Калинина 12'!F18+'Калинина 18'!F18+'Калинина 23'!F18+'Пионерская 9'!F18+'Высокая 4'!F18+'Пухова 15'!F18+#REF!+#REF!+'Пухова 17'!F18+'Калинина 4'!F18+'Пионерская 18'!F18+'Чичерина 12 к.1'!F18+'Телевизионная 6 к.1'!F18+#REF!+'Пионерская 2'!F18+'Телевизионная 2 к.1'!F18+'Чичерина 16'!F18+'Чичерина 22'!F18+#REF!+'Ленина 68,8'!F18+'Ленина 67'!F18+'Огарева 20'!F17+'Пролетарская 40'!F17+'Чижевского 4'!F18</f>
        <v>#REF!</v>
      </c>
      <c r="G18" s="8" t="e">
        <f>'Телевизионная 2а'!G17+'Пионерская 16'!G18+' Пионерская 1318 кв.1-50'!G18+'Багговута 12'!G18+'Пионерская 15'!G17+'Социалистическая 3'!G18+'Социалистическая 4'!G18+'Социалистическая 6'!G18+'Социалистическая 6 к.1'!G18+'Социалистическая 9'!G18+'Социалистическая 12'!G18+'Телевизионная 2'!G18+'Телевизионная 4'!G18+'Чичерина 7а'!G18+'Чичерина 8'!G18+#REF!+'Чичерина 16 к. 1'!G18+'пер.Чичерина 24'!G18+'пер. Чичерина 28'!G18+'Калинина 12'!G18+'Калинина 18'!G18+'Калинина 23'!G18+'Пионерская 9'!G18+'Высокая 4'!G18+'Пухова 15'!G18+#REF!+#REF!+'Пухова 17'!G18+'Калинина 4'!G18+'Пионерская 18'!G18+'Чичерина 12 к.1'!G18+'Телевизионная 6 к.1'!G18+#REF!+'Пионерская 2'!G18+'Телевизионная 2 к.1'!G18+'Чичерина 16'!G18+'Чичерина 22'!G18+#REF!+'Ленина 68,8'!G18+'Ленина 67'!G18+'Огарева 20'!G17+'Пролетарская 40'!G17+'Чижевского 4'!G18</f>
        <v>#REF!</v>
      </c>
      <c r="H18" s="28">
        <v>6.75</v>
      </c>
      <c r="I18" s="11"/>
    </row>
    <row r="19" spans="1:9" s="3" customFormat="1" ht="30">
      <c r="A19" s="6" t="s">
        <v>16</v>
      </c>
      <c r="B19" s="7" t="s">
        <v>17</v>
      </c>
      <c r="C19" s="25">
        <v>2.41</v>
      </c>
      <c r="D19" s="8" t="e">
        <f>'Телевизионная 2а'!D18+'Пионерская 16'!D19+' Пионерская 1318 кв.1-50'!D19+'Багговута 12'!D19+'Пионерская 15'!D18+'Социалистическая 3'!D19+'Социалистическая 4'!D19+'Социалистическая 6'!D19+'Социалистическая 6 к.1'!D19+'Социалистическая 9'!D19+'Социалистическая 12'!D19+'Телевизионная 2'!D19+'Телевизионная 4'!D19+'Чичерина 7а'!D19+'Чичерина 8'!D19+#REF!+'Чичерина 16 к. 1'!D19+'пер.Чичерина 24'!D19+'пер. Чичерина 28'!D19+'Калинина 12'!D19+'Калинина 18'!D19+'Калинина 23'!D19+'Пионерская 9'!D19+'Высокая 4'!D19+'Пухова 15'!D19+#REF!+#REF!+'Пухова 17'!D19+'Калинина 4'!D19+'Пионерская 18'!D19+'Чичерина 12 к.1'!D19+'Телевизионная 6 к.1'!D19+#REF!+'Пионерская 2'!D19+'Телевизионная 2 к.1'!D19+'Чичерина 16'!D19+'Чичерина 22'!D19+#REF!+'Ленина 68,8'!D19+'Ленина 67'!D19+'Огарева 20'!D18+'Пролетарская 40'!D18+'Чижевского 4'!D19</f>
        <v>#REF!</v>
      </c>
      <c r="E19" s="8" t="e">
        <f>'Телевизионная 2а'!E18+'Пионерская 16'!E19+' Пионерская 1318 кв.1-50'!E19+'Багговута 12'!E19+'Пионерская 15'!E18+'Социалистическая 3'!E19+'Социалистическая 4'!E19+'Социалистическая 6'!E19+'Социалистическая 6 к.1'!E19+'Социалистическая 9'!E19+'Социалистическая 12'!E19+'Телевизионная 2'!E19+'Телевизионная 4'!E19+'Чичерина 7а'!E19+'Чичерина 8'!E19+#REF!+'Чичерина 16 к. 1'!E19+'пер.Чичерина 24'!E19+'пер. Чичерина 28'!E19+'Калинина 12'!E19+'Калинина 18'!E19+'Калинина 23'!E19+'Пионерская 9'!E19+'Высокая 4'!E19+'Пухова 15'!E19+#REF!+#REF!+'Пухова 17'!E19+'Калинина 4'!E19+'Пионерская 18'!E19+'Чичерина 12 к.1'!E19+'Телевизионная 6 к.1'!E19+#REF!+'Пионерская 2'!E19+'Телевизионная 2 к.1'!E19+'Чичерина 16'!E19+'Чичерина 22'!E19+#REF!+'Ленина 68,8'!E19+'Ленина 67'!E19+'Огарева 20'!E18+'Пролетарская 40'!E18+'Чижевского 4'!E19</f>
        <v>#REF!</v>
      </c>
      <c r="F19" s="8" t="e">
        <f>'Телевизионная 2а'!F18+'Пионерская 16'!F19+' Пионерская 1318 кв.1-50'!F19+'Багговута 12'!F19+'Пионерская 15'!F18+'Социалистическая 3'!F19+'Социалистическая 4'!F19+'Социалистическая 6'!F19+'Социалистическая 6 к.1'!F19+'Социалистическая 9'!F19+'Социалистическая 12'!F19+'Телевизионная 2'!F19+'Телевизионная 4'!F19+'Чичерина 7а'!F19+'Чичерина 8'!F19+#REF!+'Чичерина 16 к. 1'!F19+'пер.Чичерина 24'!F19+'пер. Чичерина 28'!F19+'Калинина 12'!F19+'Калинина 18'!F19+'Калинина 23'!F19+'Пионерская 9'!F19+'Высокая 4'!F19+'Пухова 15'!F19+#REF!+#REF!+'Пухова 17'!F19+'Калинина 4'!F19+'Пионерская 18'!F19+'Чичерина 12 к.1'!F19+'Телевизионная 6 к.1'!F19+#REF!+'Пионерская 2'!F19+'Телевизионная 2 к.1'!F19+'Чичерина 16'!F19+'Чичерина 22'!F19+#REF!+'Ленина 68,8'!F19+'Ленина 67'!F19+'Огарева 20'!F18+'Пролетарская 40'!F18+'Чижевского 4'!F19</f>
        <v>#REF!</v>
      </c>
      <c r="G19" s="8" t="e">
        <f>'Телевизионная 2а'!G18+'Пионерская 16'!G19+' Пионерская 1318 кв.1-50'!G19+'Багговута 12'!G19+'Пионерская 15'!G18+'Социалистическая 3'!G19+'Социалистическая 4'!G19+'Социалистическая 6'!G19+'Социалистическая 6 к.1'!G19+'Социалистическая 9'!G19+'Социалистическая 12'!G19+'Телевизионная 2'!G19+'Телевизионная 4'!G19+'Чичерина 7а'!G19+'Чичерина 8'!G19+#REF!+'Чичерина 16 к. 1'!G19+'пер.Чичерина 24'!G19+'пер. Чичерина 28'!G19+'Калинина 12'!G19+'Калинина 18'!G19+'Калинина 23'!G19+'Пионерская 9'!G19+'Высокая 4'!G19+'Пухова 15'!G19+#REF!+#REF!+'Пухова 17'!G19+'Калинина 4'!G19+'Пионерская 18'!G19+'Чичерина 12 к.1'!G19+'Телевизионная 6 к.1'!G19+#REF!+'Пионерская 2'!G19+'Телевизионная 2 к.1'!G19+'Чичерина 16'!G19+'Чичерина 22'!G19+#REF!+'Ленина 68,8'!G19+'Ленина 67'!G19+'Огарева 20'!G18+'Пролетарская 40'!G18+'Чижевского 4'!G19</f>
        <v>#REF!</v>
      </c>
      <c r="H19" s="28">
        <v>2.41</v>
      </c>
      <c r="I19" s="11">
        <f>H19/H18</f>
        <v>0.35703703703703704</v>
      </c>
    </row>
    <row r="20" spans="1:9" s="3" customFormat="1" ht="45">
      <c r="A20" s="6" t="s">
        <v>18</v>
      </c>
      <c r="B20" s="7" t="s">
        <v>19</v>
      </c>
      <c r="C20" s="25">
        <v>1.2</v>
      </c>
      <c r="D20" s="8" t="e">
        <f>'Телевизионная 2а'!D19+'Пионерская 16'!D20+' Пионерская 1318 кв.1-50'!D20+'Багговута 12'!D20+'Пионерская 15'!D19+'Социалистическая 3'!D20+'Социалистическая 4'!D20+'Социалистическая 6'!D20+'Социалистическая 6 к.1'!D20+'Социалистическая 9'!D20+'Социалистическая 12'!D20+'Телевизионная 2'!D20+'Телевизионная 4'!D20+'Чичерина 7а'!D20+'Чичерина 8'!D20+#REF!+'Чичерина 16 к. 1'!D20+'пер.Чичерина 24'!D20+'пер. Чичерина 28'!D20+'Калинина 12'!D20+'Калинина 18'!D20+'Калинина 23'!D20+'Пионерская 9'!D20+'Высокая 4'!D20+'Пухова 15'!D20+#REF!+#REF!+'Пухова 17'!D20+'Калинина 4'!D20+'Пионерская 18'!D20+'Чичерина 12 к.1'!D20+'Телевизионная 6 к.1'!D20+#REF!+'Пионерская 2'!D20+'Телевизионная 2 к.1'!D20+'Чичерина 16'!D20+'Чичерина 22'!D20+#REF!+'Ленина 68,8'!D20+'Ленина 67'!D20+'Огарева 20'!D19+'Пролетарская 40'!D19+'Чижевского 4'!D20</f>
        <v>#REF!</v>
      </c>
      <c r="E20" s="8" t="e">
        <f>'Телевизионная 2а'!E19+'Пионерская 16'!E20+' Пионерская 1318 кв.1-50'!E20+'Багговута 12'!E20+'Пионерская 15'!E19+'Социалистическая 3'!E20+'Социалистическая 4'!E20+'Социалистическая 6'!E20+'Социалистическая 6 к.1'!E20+'Социалистическая 9'!E20+'Социалистическая 12'!E20+'Телевизионная 2'!E20+'Телевизионная 4'!E20+'Чичерина 7а'!E20+'Чичерина 8'!E20+#REF!+'Чичерина 16 к. 1'!E20+'пер.Чичерина 24'!E20+'пер. Чичерина 28'!E20+'Калинина 12'!E20+'Калинина 18'!E20+'Калинина 23'!E20+'Пионерская 9'!E20+'Высокая 4'!E20+'Пухова 15'!E20+#REF!+#REF!+'Пухова 17'!E20+'Калинина 4'!E20+'Пионерская 18'!E20+'Чичерина 12 к.1'!E20+'Телевизионная 6 к.1'!E20+#REF!+'Пионерская 2'!E20+'Телевизионная 2 к.1'!E20+'Чичерина 16'!E20+'Чичерина 22'!E20+#REF!+'Ленина 68,8'!E20+'Ленина 67'!E20+'Огарева 20'!E19+'Пролетарская 40'!E19+'Чижевского 4'!E20</f>
        <v>#REF!</v>
      </c>
      <c r="F20" s="8" t="e">
        <f>'Телевизионная 2а'!F19+'Пионерская 16'!F20+' Пионерская 1318 кв.1-50'!F20+'Багговута 12'!F20+'Пионерская 15'!F19+'Социалистическая 3'!F20+'Социалистическая 4'!F20+'Социалистическая 6'!F20+'Социалистическая 6 к.1'!F20+'Социалистическая 9'!F20+'Социалистическая 12'!F20+'Телевизионная 2'!F20+'Телевизионная 4'!F20+'Чичерина 7а'!F20+'Чичерина 8'!F20+#REF!+'Чичерина 16 к. 1'!F20+'пер.Чичерина 24'!F20+'пер. Чичерина 28'!F20+'Калинина 12'!F20+'Калинина 18'!F20+'Калинина 23'!F20+'Пионерская 9'!F20+'Высокая 4'!F20+'Пухова 15'!F20+#REF!+#REF!+'Пухова 17'!F20+'Калинина 4'!F20+'Пионерская 18'!F20+'Чичерина 12 к.1'!F20+'Телевизионная 6 к.1'!F20+#REF!+'Пионерская 2'!F20+'Телевизионная 2 к.1'!F20+'Чичерина 16'!F20+'Чичерина 22'!F20+#REF!+'Ленина 68,8'!F20+'Ленина 67'!F20+'Огарева 20'!F19+'Пролетарская 40'!F19+'Чижевского 4'!F20</f>
        <v>#REF!</v>
      </c>
      <c r="G20" s="8" t="e">
        <f>'Телевизионная 2а'!G19+'Пионерская 16'!G20+' Пионерская 1318 кв.1-50'!G20+'Багговута 12'!G20+'Пионерская 15'!G19+'Социалистическая 3'!G20+'Социалистическая 4'!G20+'Социалистическая 6'!G20+'Социалистическая 6 к.1'!G20+'Социалистическая 9'!G20+'Социалистическая 12'!G20+'Телевизионная 2'!G20+'Телевизионная 4'!G20+'Чичерина 7а'!G20+'Чичерина 8'!G20+#REF!+'Чичерина 16 к. 1'!G20+'пер.Чичерина 24'!G20+'пер. Чичерина 28'!G20+'Калинина 12'!G20+'Калинина 18'!G20+'Калинина 23'!G20+'Пионерская 9'!G20+'Высокая 4'!G20+'Пухова 15'!G20+#REF!+#REF!+'Пухова 17'!G20+'Калинина 4'!G20+'Пионерская 18'!G20+'Чичерина 12 к.1'!G20+'Телевизионная 6 к.1'!G20+#REF!+'Пионерская 2'!G20+'Телевизионная 2 к.1'!G20+'Чичерина 16'!G20+'Чичерина 22'!G20+#REF!+'Ленина 68,8'!G20+'Ленина 67'!G20+'Огарева 20'!G19+'Пролетарская 40'!G19+'Чижевского 4'!G20</f>
        <v>#REF!</v>
      </c>
      <c r="H20" s="28">
        <v>1.2</v>
      </c>
      <c r="I20" s="11">
        <f>H20/H18</f>
        <v>0.17777777777777778</v>
      </c>
    </row>
    <row r="21" spans="1:9" s="3" customFormat="1" ht="30">
      <c r="A21" s="6" t="s">
        <v>20</v>
      </c>
      <c r="B21" s="7" t="s">
        <v>21</v>
      </c>
      <c r="C21" s="25">
        <v>1.51</v>
      </c>
      <c r="D21" s="8" t="e">
        <f>'Телевизионная 2а'!D20+'Пионерская 16'!D21+' Пионерская 1318 кв.1-50'!D21+'Багговута 12'!D21+'Пионерская 15'!D20+'Социалистическая 3'!D21+'Социалистическая 4'!D21+'Социалистическая 6'!D21+'Социалистическая 6 к.1'!D21+'Социалистическая 9'!D21+'Социалистическая 12'!D21+'Телевизионная 2'!D21+'Телевизионная 4'!D21+'Чичерина 7а'!D21+'Чичерина 8'!D21+#REF!+'Чичерина 16 к. 1'!D21+'пер.Чичерина 24'!D21+'пер. Чичерина 28'!D21+'Калинина 12'!D21+'Калинина 18'!D21+'Калинина 23'!D21+'Пионерская 9'!D21+'Высокая 4'!D21+'Пухова 15'!D21+#REF!+#REF!+'Пухова 17'!D21+'Калинина 4'!D21+'Пионерская 18'!D21+'Чичерина 12 к.1'!D21+'Телевизионная 6 к.1'!D21+#REF!+'Пионерская 2'!D21+'Телевизионная 2 к.1'!D21+'Чичерина 16'!D21+'Чичерина 22'!D21+#REF!+'Ленина 68,8'!D21+'Ленина 67'!D21+'Огарева 20'!D20+'Пролетарская 40'!D20+'Чижевского 4'!D21</f>
        <v>#REF!</v>
      </c>
      <c r="E21" s="8" t="e">
        <f>'Телевизионная 2а'!E20+'Пионерская 16'!E21+' Пионерская 1318 кв.1-50'!E21+'Багговута 12'!E21+'Пионерская 15'!E20+'Социалистическая 3'!E21+'Социалистическая 4'!E21+'Социалистическая 6'!E21+'Социалистическая 6 к.1'!E21+'Социалистическая 9'!E21+'Социалистическая 12'!E21+'Телевизионная 2'!E21+'Телевизионная 4'!E21+'Чичерина 7а'!E21+'Чичерина 8'!E21+#REF!+'Чичерина 16 к. 1'!E21+'пер.Чичерина 24'!E21+'пер. Чичерина 28'!E21+'Калинина 12'!E21+'Калинина 18'!E21+'Калинина 23'!E21+'Пионерская 9'!E21+'Высокая 4'!E21+'Пухова 15'!E21+#REF!+#REF!+'Пухова 17'!E21+'Калинина 4'!E21+'Пионерская 18'!E21+'Чичерина 12 к.1'!E21+'Телевизионная 6 к.1'!E21+#REF!+'Пионерская 2'!E21+'Телевизионная 2 к.1'!E21+'Чичерина 16'!E21+'Чичерина 22'!E21+#REF!+'Ленина 68,8'!E21+'Ленина 67'!E21+'Огарева 20'!E20+'Пролетарская 40'!E20+'Чижевского 4'!E21</f>
        <v>#REF!</v>
      </c>
      <c r="F21" s="8" t="e">
        <f>'Телевизионная 2а'!F20+'Пионерская 16'!F21+' Пионерская 1318 кв.1-50'!F21+'Багговута 12'!F21+'Пионерская 15'!F20+'Социалистическая 3'!F21+'Социалистическая 4'!F21+'Социалистическая 6'!F21+'Социалистическая 6 к.1'!F21+'Социалистическая 9'!F21+'Социалистическая 12'!F21+'Телевизионная 2'!F21+'Телевизионная 4'!F21+'Чичерина 7а'!F21+'Чичерина 8'!F21+#REF!+'Чичерина 16 к. 1'!F21+'пер.Чичерина 24'!F21+'пер. Чичерина 28'!F21+'Калинина 12'!F21+'Калинина 18'!F21+'Калинина 23'!F21+'Пионерская 9'!F21+'Высокая 4'!F21+'Пухова 15'!F21+#REF!+#REF!+'Пухова 17'!F21+'Калинина 4'!F21+'Пионерская 18'!F21+'Чичерина 12 к.1'!F21+'Телевизионная 6 к.1'!F21+#REF!+'Пионерская 2'!F21+'Телевизионная 2 к.1'!F21+'Чичерина 16'!F21+'Чичерина 22'!F21+#REF!+'Ленина 68,8'!F21+'Ленина 67'!F21+'Огарева 20'!F20+'Пролетарская 40'!F20+'Чижевского 4'!F21</f>
        <v>#REF!</v>
      </c>
      <c r="G21" s="8" t="e">
        <f>'Телевизионная 2а'!G20+'Пионерская 16'!G21+' Пионерская 1318 кв.1-50'!G21+'Багговута 12'!G21+'Пионерская 15'!G20+'Социалистическая 3'!G21+'Социалистическая 4'!G21+'Социалистическая 6'!G21+'Социалистическая 6 к.1'!G21+'Социалистическая 9'!G21+'Социалистическая 12'!G21+'Телевизионная 2'!G21+'Телевизионная 4'!G21+'Чичерина 7а'!G21+'Чичерина 8'!G21+#REF!+'Чичерина 16 к. 1'!G21+'пер.Чичерина 24'!G21+'пер. Чичерина 28'!G21+'Калинина 12'!G21+'Калинина 18'!G21+'Калинина 23'!G21+'Пионерская 9'!G21+'Высокая 4'!G21+'Пухова 15'!G21+#REF!+#REF!+'Пухова 17'!G21+'Калинина 4'!G21+'Пионерская 18'!G21+'Чичерина 12 к.1'!G21+'Телевизионная 6 к.1'!G21+#REF!+'Пионерская 2'!G21+'Телевизионная 2 к.1'!G21+'Чичерина 16'!G21+'Чичерина 22'!G21+#REF!+'Ленина 68,8'!G21+'Ленина 67'!G21+'Огарева 20'!G20+'Пролетарская 40'!G20+'Чижевского 4'!G21</f>
        <v>#REF!</v>
      </c>
      <c r="H21" s="28">
        <v>1.51</v>
      </c>
      <c r="I21" s="11">
        <f>H21/H18</f>
        <v>0.2237037037037037</v>
      </c>
    </row>
    <row r="22" spans="1:9" s="3" customFormat="1" ht="30">
      <c r="A22" s="6" t="s">
        <v>22</v>
      </c>
      <c r="B22" s="7" t="s">
        <v>23</v>
      </c>
      <c r="C22" s="25">
        <v>1.63</v>
      </c>
      <c r="D22" s="8" t="e">
        <f>'Телевизионная 2а'!D21+'Пионерская 16'!D22+' Пионерская 1318 кв.1-50'!D22+'Багговута 12'!D22+'Пионерская 15'!D21+'Социалистическая 3'!D22+'Социалистическая 4'!D22+'Социалистическая 6'!D22+'Социалистическая 6 к.1'!D22+'Социалистическая 9'!D22+'Социалистическая 12'!D22+'Телевизионная 2'!D22+'Телевизионная 4'!D22+'Чичерина 7а'!D22+'Чичерина 8'!D22+#REF!+'Чичерина 16 к. 1'!D22+'пер.Чичерина 24'!D22+'пер. Чичерина 28'!D22+'Калинина 12'!D22+'Калинина 18'!D22+'Калинина 23'!D22+'Пионерская 9'!D22+'Высокая 4'!D22+'Пухова 15'!D22+#REF!+#REF!+'Пухова 17'!D22+'Калинина 4'!D22+'Пионерская 18'!D22+'Чичерина 12 к.1'!D22+'Телевизионная 6 к.1'!D22+#REF!+'Пионерская 2'!D22+'Телевизионная 2 к.1'!D22+'Чичерина 16'!D22+'Чичерина 22'!D22+#REF!+'Ленина 68,8'!D22+'Ленина 67'!D22+'Огарева 20'!D21+'Пролетарская 40'!D21+'Чижевского 4'!D22</f>
        <v>#REF!</v>
      </c>
      <c r="E22" s="8" t="e">
        <f>'Телевизионная 2а'!E21+'Пионерская 16'!E22+' Пионерская 1318 кв.1-50'!E22+'Багговута 12'!E22+'Пионерская 15'!E21+'Социалистическая 3'!E22+'Социалистическая 4'!E22+'Социалистическая 6'!E22+'Социалистическая 6 к.1'!E22+'Социалистическая 9'!E22+'Социалистическая 12'!E22+'Телевизионная 2'!E22+'Телевизионная 4'!E22+'Чичерина 7а'!E22+'Чичерина 8'!E22+#REF!+'Чичерина 16 к. 1'!E22+'пер.Чичерина 24'!E22+'пер. Чичерина 28'!E22+'Калинина 12'!E22+'Калинина 18'!E22+'Калинина 23'!E22+'Пионерская 9'!E22+'Высокая 4'!E22+'Пухова 15'!E22+#REF!+#REF!+'Пухова 17'!E22+'Калинина 4'!E22+'Пионерская 18'!E22+'Чичерина 12 к.1'!E22+'Телевизионная 6 к.1'!E22+#REF!+'Пионерская 2'!E22+'Телевизионная 2 к.1'!E22+'Чичерина 16'!E22+'Чичерина 22'!E22+#REF!+'Ленина 68,8'!E22+'Ленина 67'!E22+'Огарева 20'!E21+'Пролетарская 40'!E21+'Чижевского 4'!E22</f>
        <v>#REF!</v>
      </c>
      <c r="F22" s="8" t="e">
        <f>'Телевизионная 2а'!F21+'Пионерская 16'!F22+' Пионерская 1318 кв.1-50'!F22+'Багговута 12'!F22+'Пионерская 15'!F21+'Социалистическая 3'!F22+'Социалистическая 4'!F22+'Социалистическая 6'!F22+'Социалистическая 6 к.1'!F22+'Социалистическая 9'!F22+'Социалистическая 12'!F22+'Телевизионная 2'!F22+'Телевизионная 4'!F22+'Чичерина 7а'!F22+'Чичерина 8'!F22+#REF!+'Чичерина 16 к. 1'!F22+'пер.Чичерина 24'!F22+'пер. Чичерина 28'!F22+'Калинина 12'!F22+'Калинина 18'!F22+'Калинина 23'!F22+'Пионерская 9'!F22+'Высокая 4'!F22+'Пухова 15'!F22+#REF!+#REF!+'Пухова 17'!F22+'Калинина 4'!F22+'Пионерская 18'!F22+'Чичерина 12 к.1'!F22+'Телевизионная 6 к.1'!F22+#REF!+'Пионерская 2'!F22+'Телевизионная 2 к.1'!F22+'Чичерина 16'!F22+'Чичерина 22'!F22+#REF!+'Ленина 68,8'!F22+'Ленина 67'!F22+'Огарева 20'!F21+'Пролетарская 40'!F21+'Чижевского 4'!F22</f>
        <v>#REF!</v>
      </c>
      <c r="G22" s="8" t="e">
        <f>'Телевизионная 2а'!G21+'Пионерская 16'!G22+' Пионерская 1318 кв.1-50'!G22+'Багговута 12'!G22+'Пионерская 15'!G21+'Социалистическая 3'!G22+'Социалистическая 4'!G22+'Социалистическая 6'!G22+'Социалистическая 6 к.1'!G22+'Социалистическая 9'!G22+'Социалистическая 12'!G22+'Телевизионная 2'!G22+'Телевизионная 4'!G22+'Чичерина 7а'!G22+'Чичерина 8'!G22+#REF!+'Чичерина 16 к. 1'!G22+'пер.Чичерина 24'!G22+'пер. Чичерина 28'!G22+'Калинина 12'!G22+'Калинина 18'!G22+'Калинина 23'!G22+'Пионерская 9'!G22+'Высокая 4'!G22+'Пухова 15'!G22+#REF!+#REF!+'Пухова 17'!G22+'Калинина 4'!G22+'Пионерская 18'!G22+'Чичерина 12 к.1'!G22+'Телевизионная 6 к.1'!G22+#REF!+'Пионерская 2'!G22+'Телевизионная 2 к.1'!G22+'Чичерина 16'!G22+'Чичерина 22'!G22+#REF!+'Ленина 68,8'!G22+'Ленина 67'!G22+'Огарева 20'!G21+'Пролетарская 40'!G21+'Чижевского 4'!G22</f>
        <v>#REF!</v>
      </c>
      <c r="H22" s="28">
        <v>1.63</v>
      </c>
      <c r="I22" s="11">
        <f>H22/H18</f>
        <v>0.24148148148148146</v>
      </c>
    </row>
    <row r="23" spans="1:7" ht="15">
      <c r="A23" s="7" t="s">
        <v>25</v>
      </c>
      <c r="B23" s="7" t="s">
        <v>26</v>
      </c>
      <c r="C23" s="25">
        <v>3.15</v>
      </c>
      <c r="D23" s="8" t="e">
        <f>'Телевизионная 2а'!D22+'Пионерская 16'!#REF!+' Пионерская 1318 кв.1-50'!#REF!+'Багговута 12'!D23+'Пионерская 15'!D22+'Социалистическая 3'!D23+'Социалистическая 4'!D23+'Социалистическая 6'!D23+'Социалистическая 6 к.1'!D23+'Социалистическая 9'!D23+'Социалистическая 12'!D23+'Телевизионная 2'!D23+'Телевизионная 4'!D23+'Чичерина 7а'!D23+'Чичерина 8'!D23+#REF!+'Чичерина 16 к. 1'!D23+'пер.Чичерина 24'!D23+'пер. Чичерина 28'!D23+'Калинина 12'!D24+'Калинина 18'!D23+'Калинина 23'!D23+'Пионерская 9'!D23+'Высокая 4'!D23+'Пухова 15'!D23+#REF!+#REF!+'Пухова 17'!D23+'Калинина 4'!D23+'Пионерская 18'!D23+'Чичерина 12 к.1'!D23+'Телевизионная 6 к.1'!D23+#REF!+'Пионерская 2'!D23+'Телевизионная 2 к.1'!D23+'Чичерина 16'!D23+'Чичерина 22'!D23+#REF!+'Ленина 68,8'!D23+'Ленина 67'!D23+'Огарева 20'!D22+'Пролетарская 40'!D22+'Чижевского 4'!D23</f>
        <v>#REF!</v>
      </c>
      <c r="E23" s="8" t="e">
        <f>'Телевизионная 2а'!E22+'Пионерская 16'!#REF!+' Пионерская 1318 кв.1-50'!#REF!+'Багговута 12'!E23+'Пионерская 15'!E22+'Социалистическая 3'!E23+'Социалистическая 4'!E23+'Социалистическая 6'!E23+'Социалистическая 6 к.1'!E23+'Социалистическая 9'!E23+'Социалистическая 12'!E23+'Телевизионная 2'!E23+'Телевизионная 4'!E23+'Чичерина 7а'!E23+'Чичерина 8'!E23+#REF!+'Чичерина 16 к. 1'!E23+'пер.Чичерина 24'!E23+'пер. Чичерина 28'!E23+'Калинина 12'!E24+'Калинина 18'!E23+'Калинина 23'!E23+'Пионерская 9'!E23+'Высокая 4'!E23+'Пухова 15'!E23+#REF!+#REF!+'Пухова 17'!E23+'Калинина 4'!E23+'Пионерская 18'!E23+'Чичерина 12 к.1'!E23+'Телевизионная 6 к.1'!E23+#REF!+'Пионерская 2'!E23+'Телевизионная 2 к.1'!E23+'Чичерина 16'!E23+'Чичерина 22'!E23+#REF!+'Ленина 68,8'!E23+'Ленина 67'!E23+'Огарева 20'!E22+'Пролетарская 40'!E22+'Чижевского 4'!E23</f>
        <v>#REF!</v>
      </c>
      <c r="F23" s="8" t="e">
        <f>'Телевизионная 2а'!F22+'Пионерская 16'!#REF!+' Пионерская 1318 кв.1-50'!#REF!+'Багговута 12'!F23+'Пионерская 15'!F22+'Социалистическая 3'!F23+'Социалистическая 4'!F23+'Социалистическая 6'!F23+'Социалистическая 6 к.1'!F23+'Социалистическая 9'!F23+'Социалистическая 12'!F23+'Телевизионная 2'!F23+'Телевизионная 4'!F23+'Чичерина 7а'!F23+'Чичерина 8'!F23+#REF!+'Чичерина 16 к. 1'!F23+'пер.Чичерина 24'!F23+'пер. Чичерина 28'!F23+'Калинина 12'!F24+'Калинина 18'!F23+'Калинина 23'!F23+'Пионерская 9'!F23+'Высокая 4'!F23+'Пухова 15'!F23+#REF!+#REF!+'Пухова 17'!F23+'Калинина 4'!F23+'Пионерская 18'!F23+'Чичерина 12 к.1'!F23+'Телевизионная 6 к.1'!F23+#REF!+'Пионерская 2'!F23+'Телевизионная 2 к.1'!F23+'Чичерина 16'!F23+'Чичерина 22'!F23+#REF!+'Ленина 68,8'!F23+'Ленина 67'!F23+'Огарева 20'!F22+'Пролетарская 40'!F22+'Чижевского 4'!F23</f>
        <v>#REF!</v>
      </c>
      <c r="G23" s="8" t="e">
        <f>'Телевизионная 2а'!G22+'Пионерская 16'!#REF!+' Пионерская 1318 кв.1-50'!#REF!+'Багговута 12'!G23+'Пионерская 15'!G22+'Социалистическая 3'!G23+'Социалистическая 4'!G23+'Социалистическая 6'!G23+'Социалистическая 6 к.1'!G23+'Социалистическая 9'!G23+'Социалистическая 12'!G23+'Телевизионная 2'!G23+'Телевизионная 4'!G23+'Чичерина 7а'!G23+'Чичерина 8'!G23+#REF!+'Чичерина 16 к. 1'!G23+'пер.Чичерина 24'!G23+'пер. Чичерина 28'!G23+'Калинина 12'!G24+'Калинина 18'!G23+'Калинина 23'!G23+'Пионерская 9'!G23+'Высокая 4'!G23+'Пухова 15'!G23+#REF!+#REF!+'Пухова 17'!G23+'Калинина 4'!G23+'Пионерская 18'!G23+'Чичерина 12 к.1'!G23+'Телевизионная 6 к.1'!G23+#REF!+'Пионерская 2'!G23+'Телевизионная 2 к.1'!G23+'Чичерина 16'!G23+'Чичерина 22'!G23+#REF!+'Ленина 68,8'!G23+'Ленина 67'!G23+'Огарева 20'!G22+'Пролетарская 40'!G22+'Чижевского 4'!G23</f>
        <v>#REF!</v>
      </c>
    </row>
    <row r="24" spans="1:7" ht="15">
      <c r="A24" s="7" t="s">
        <v>27</v>
      </c>
      <c r="B24" s="7" t="s">
        <v>28</v>
      </c>
      <c r="C24" s="12">
        <v>2.6</v>
      </c>
      <c r="D24" s="8" t="e">
        <f>'Телевизионная 2а'!D23+'Пионерская 16'!#REF!+' Пионерская 1318 кв.1-50'!D23+'Багговута 12'!D24+'Пионерская 15'!D23+'Социалистическая 3'!D24+'Социалистическая 4'!D24+'Социалистическая 6'!D24+'Социалистическая 6 к.1'!D24+'Социалистическая 9'!D24+'Социалистическая 12'!D24+'Телевизионная 2'!D24+'Телевизионная 4'!D24+'Чичерина 7а'!D24+'Чичерина 8'!D24+#REF!+'Чичерина 16 к. 1'!D24+'пер.Чичерина 24'!D24+'пер. Чичерина 28'!D24+'Калинина 12'!D25+'Калинина 18'!D24+'Калинина 23'!D24+'Пионерская 9'!D24+'Высокая 4'!D24+'Пухова 15'!D24+#REF!+#REF!+'Пухова 17'!D24+'Калинина 4'!D24+'Пионерская 18'!D24+'Чичерина 12 к.1'!D24+'Телевизионная 6 к.1'!D24+#REF!+'Пионерская 2'!D24+'Телевизионная 2 к.1'!D24+'Чичерина 16'!D24+'Чичерина 22'!D24+#REF!+'Ленина 68,8'!D24+'Ленина 67'!D24+'Огарева 20'!D23+'Пролетарская 40'!D23+'Чижевского 4'!D24</f>
        <v>#REF!</v>
      </c>
      <c r="E24" s="8" t="e">
        <f>'Телевизионная 2а'!E23+'Пионерская 16'!#REF!+' Пионерская 1318 кв.1-50'!E23+'Багговута 12'!E24+'Пионерская 15'!E23+'Социалистическая 3'!E24+'Социалистическая 4'!E24+'Социалистическая 6'!E24+'Социалистическая 6 к.1'!E24+'Социалистическая 9'!E24+'Социалистическая 12'!E24+'Телевизионная 2'!E24+'Телевизионная 4'!E24+'Чичерина 7а'!E24+'Чичерина 8'!E24+#REF!+'Чичерина 16 к. 1'!E24+'пер.Чичерина 24'!E24+'пер. Чичерина 28'!E24+'Калинина 12'!E25+'Калинина 18'!E24+'Калинина 23'!E24+'Пионерская 9'!E24+'Высокая 4'!E24+'Пухова 15'!E24+#REF!+#REF!+'Пухова 17'!E24+'Калинина 4'!E24+'Пионерская 18'!E24+'Чичерина 12 к.1'!E24+'Телевизионная 6 к.1'!E24+#REF!+'Пионерская 2'!E24+'Телевизионная 2 к.1'!E24+'Чичерина 16'!E24+'Чичерина 22'!E24+#REF!+'Ленина 68,8'!E24+'Ленина 67'!E24+'Огарева 20'!E23+'Пролетарская 40'!E23+'Чижевского 4'!E24</f>
        <v>#REF!</v>
      </c>
      <c r="F24" s="8" t="e">
        <f>'Телевизионная 2а'!F23+'Пионерская 16'!#REF!+' Пионерская 1318 кв.1-50'!F23+'Багговута 12'!F24+'Пионерская 15'!F23+'Социалистическая 3'!F24+'Социалистическая 4'!F24+'Социалистическая 6'!F24+'Социалистическая 6 к.1'!F24+'Социалистическая 9'!F24+'Социалистическая 12'!F24+'Телевизионная 2'!F24+'Телевизионная 4'!F24+'Чичерина 7а'!F24+'Чичерина 8'!F24+#REF!+'Чичерина 16 к. 1'!F24+'пер.Чичерина 24'!F24+'пер. Чичерина 28'!F24+'Калинина 12'!F25+'Калинина 18'!F24+'Калинина 23'!F24+'Пионерская 9'!F24+'Высокая 4'!F24+'Пухова 15'!F24+#REF!+#REF!+'Пухова 17'!F24+'Калинина 4'!F24+'Пионерская 18'!F24+'Чичерина 12 к.1'!F24+'Телевизионная 6 к.1'!F24+#REF!+'Пионерская 2'!F24+'Телевизионная 2 к.1'!F24+'Чичерина 16'!F24+'Чичерина 22'!F24+#REF!+'Ленина 68,8'!F24+'Ленина 67'!F24+'Огарева 20'!F23+'Пролетарская 40'!F23+'Чижевского 4'!F24</f>
        <v>#REF!</v>
      </c>
      <c r="G24" s="8" t="e">
        <f>'Телевизионная 2а'!G23+'Пионерская 16'!#REF!+' Пионерская 1318 кв.1-50'!G23+'Багговута 12'!G24+'Пионерская 15'!G23+'Социалистическая 3'!G24+'Социалистическая 4'!G24+'Социалистическая 6'!G24+'Социалистическая 6 к.1'!G24+'Социалистическая 9'!G24+'Социалистическая 12'!G24+'Телевизионная 2'!G24+'Телевизионная 4'!G24+'Чичерина 7а'!G24+'Чичерина 8'!G24+#REF!+'Чичерина 16 к. 1'!G24+'пер.Чичерина 24'!G24+'пер. Чичерина 28'!G24+'Калинина 12'!G25+'Калинина 18'!G24+'Калинина 23'!G24+'Пионерская 9'!G24+'Высокая 4'!G24+'Пухова 15'!G24+#REF!+#REF!+'Пухова 17'!G24+'Калинина 4'!G24+'Пионерская 18'!G24+'Чичерина 12 к.1'!G24+'Телевизионная 6 к.1'!G24+#REF!+'Пионерская 2'!G24+'Телевизионная 2 к.1'!G24+'Чичерина 16'!G24+'Чичерина 22'!G24+#REF!+'Ленина 68,8'!G24+'Ленина 67'!G24+'Огарева 20'!G23+'Пролетарская 40'!G23+'Чижевского 4'!G24</f>
        <v>#REF!</v>
      </c>
    </row>
    <row r="25" spans="1:7" ht="30">
      <c r="A25" s="7" t="s">
        <v>29</v>
      </c>
      <c r="B25" s="7" t="s">
        <v>30</v>
      </c>
      <c r="C25" s="25">
        <v>0.81</v>
      </c>
      <c r="D25" s="8" t="e">
        <f>'Телевизионная 2а'!D24+'Пионерская 16'!D23+' Пионерская 1318 кв.1-50'!D24+'Багговута 12'!D25+'Пионерская 15'!D24+'Социалистическая 3'!D25+'Социалистическая 4'!D25+'Социалистическая 6'!D25+'Социалистическая 6 к.1'!D25+'Социалистическая 9'!D25+'Социалистическая 12'!D25+'Телевизионная 2'!D25+'Телевизионная 4'!D25+'Чичерина 7а'!D25+'Чичерина 8'!D25+#REF!+'Чичерина 16 к. 1'!D25+'пер.Чичерина 24'!#REF!+'пер. Чичерина 28'!D25+'Калинина 12'!D26+'Калинина 18'!D25+'Калинина 23'!D25+'Пионерская 9'!D25+'Высокая 4'!D25+'Пухова 15'!D25+#REF!+#REF!+'Пухова 17'!D25+'Калинина 4'!D25+'Пионерская 18'!D25+'Чичерина 12 к.1'!D25+'Телевизионная 6 к.1'!D25+#REF!+'Пионерская 2'!D25+'Телевизионная 2 к.1'!D25+'Чичерина 16'!D25+'Чичерина 22'!D25+#REF!+'Ленина 68,8'!D25+'Ленина 67'!D25+'Огарева 20'!D24+'Пролетарская 40'!D24+'Чижевского 4'!D25</f>
        <v>#REF!</v>
      </c>
      <c r="E25" s="8" t="e">
        <f>'Телевизионная 2а'!E24+'Пионерская 16'!E23+' Пионерская 1318 кв.1-50'!E24+'Багговута 12'!E25+'Пионерская 15'!E24+'Социалистическая 3'!E25+'Социалистическая 4'!E25+'Социалистическая 6'!E25+'Социалистическая 6 к.1'!E25+'Социалистическая 9'!E25+'Социалистическая 12'!E25+'Телевизионная 2'!E25+'Телевизионная 4'!E25+'Чичерина 7а'!E25+'Чичерина 8'!E25+#REF!+'Чичерина 16 к. 1'!E25+'пер.Чичерина 24'!#REF!+'пер. Чичерина 28'!E25+'Калинина 12'!E26+'Калинина 18'!E25+'Калинина 23'!E25+'Пионерская 9'!E25+'Высокая 4'!E25+'Пухова 15'!E25+#REF!+#REF!+'Пухова 17'!E25+'Калинина 4'!E25+'Пионерская 18'!E25+'Чичерина 12 к.1'!E25+'Телевизионная 6 к.1'!E25+#REF!+'Пионерская 2'!E25+'Телевизионная 2 к.1'!E25+'Чичерина 16'!E25+'Чичерина 22'!E25+#REF!+'Ленина 68,8'!E25+'Ленина 67'!E25+'Огарева 20'!E24+'Пролетарская 40'!E24+'Чижевского 4'!E25</f>
        <v>#REF!</v>
      </c>
      <c r="F25" s="8" t="e">
        <f>'Телевизионная 2а'!F24+'Пионерская 16'!F23+' Пионерская 1318 кв.1-50'!F24+'Багговута 12'!F25+'Пионерская 15'!F24+'Социалистическая 3'!F25+'Социалистическая 4'!F25+'Социалистическая 6'!F25+'Социалистическая 6 к.1'!F25+'Социалистическая 9'!F25+'Социалистическая 12'!F25+'Телевизионная 2'!F25+'Телевизионная 4'!F25+'Чичерина 7а'!F25+'Чичерина 8'!F25+#REF!+'Чичерина 16 к. 1'!F25+'пер.Чичерина 24'!#REF!+'пер. Чичерина 28'!F25+'Калинина 12'!F26+'Калинина 18'!F25+'Калинина 23'!F25+'Пионерская 9'!F25+'Высокая 4'!F25+'Пухова 15'!F25+#REF!+#REF!+'Пухова 17'!F25+'Калинина 4'!F25+'Пионерская 18'!F25+'Чичерина 12 к.1'!F25+'Телевизионная 6 к.1'!F25+#REF!+'Пионерская 2'!F25+'Телевизионная 2 к.1'!F25+'Чичерина 16'!F25+'Чичерина 22'!F25+#REF!+'Ленина 68,8'!F25+'Ленина 67'!F25+'Огарева 20'!F24+'Пролетарская 40'!F24+'Чижевского 4'!F25</f>
        <v>#REF!</v>
      </c>
      <c r="G25" s="8" t="e">
        <f>'Телевизионная 2а'!G24+'Пионерская 16'!G23+' Пионерская 1318 кв.1-50'!G24+'Багговута 12'!G25+'Пионерская 15'!G24+'Социалистическая 3'!G25+'Социалистическая 4'!G25+'Социалистическая 6'!G25+'Социалистическая 6 к.1'!G25+'Социалистическая 9'!G25+'Социалистическая 12'!G25+'Телевизионная 2'!G25+'Телевизионная 4'!G25+'Чичерина 7а'!G25+'Чичерина 8'!G25+#REF!+'Чичерина 16 к. 1'!G25+'пер.Чичерина 24'!#REF!+'пер. Чичерина 28'!G25+'Калинина 12'!G26+'Калинина 18'!G25+'Калинина 23'!G25+'Пионерская 9'!G25+'Высокая 4'!G25+'Пухова 15'!G25+#REF!+#REF!+'Пухова 17'!G25+'Калинина 4'!G25+'Пионерская 18'!G25+'Чичерина 12 к.1'!G25+'Телевизионная 6 к.1'!G25+#REF!+'Пионерская 2'!G25+'Телевизионная 2 к.1'!G25+'Чичерина 16'!G25+'Чичерина 22'!G25+#REF!+'Ленина 68,8'!G25+'Ленина 67'!G25+'Огарева 20'!G24+'Пролетарская 40'!G24+'Чижевского 4'!G25</f>
        <v>#REF!</v>
      </c>
    </row>
    <row r="26" spans="1:7" ht="15">
      <c r="A26" s="7" t="s">
        <v>31</v>
      </c>
      <c r="B26" s="24" t="s">
        <v>119</v>
      </c>
      <c r="C26" s="25">
        <v>1.61</v>
      </c>
      <c r="D26" s="8" t="e">
        <f>'Телевизионная 2а'!D25+'Пионерская 16'!D24+' Пионерская 1318 кв.1-50'!D25+'Багговута 12'!D26+'Пионерская 15'!D25+'Социалистическая 3'!D26+'Социалистическая 4'!D26+'Социалистическая 6'!D26+'Социалистическая 6 к.1'!D26+'Социалистическая 9'!D26+'Социалистическая 12'!D26+'Телевизионная 2'!D26+'Телевизионная 4'!D26+'Чичерина 7а'!D26+'Чичерина 8'!D26+#REF!+'Чичерина 16 к. 1'!D26+'пер.Чичерина 24'!D25+'пер. Чичерина 28'!D26+'Калинина 12'!D27+'Калинина 18'!D26+'Калинина 23'!D26+'Пионерская 9'!D26+'Высокая 4'!D26+'Пухова 15'!D26+#REF!+#REF!+'Пухова 17'!D26+'Калинина 4'!D26+'Пионерская 18'!D26+'Чичерина 12 к.1'!D26+'Телевизионная 6 к.1'!D26+#REF!+'Пионерская 2'!D26+'Телевизионная 2 к.1'!D26+'Чичерина 16'!D26+'Чичерина 22'!D26+#REF!+'Ленина 68,8'!D26+'Ленина 67'!D26+'Огарева 20'!D25+'Пролетарская 40'!D25+'Чижевского 4'!D26</f>
        <v>#REF!</v>
      </c>
      <c r="E26" s="8" t="e">
        <f>'Телевизионная 2а'!E25+'Пионерская 16'!E24+' Пионерская 1318 кв.1-50'!E25+'Багговута 12'!E26+'Пионерская 15'!E25+'Социалистическая 3'!E26+'Социалистическая 4'!E26+'Социалистическая 6'!E26+'Социалистическая 6 к.1'!E26+'Социалистическая 9'!E26+'Социалистическая 12'!E26+'Телевизионная 2'!E26+'Телевизионная 4'!E26+'Чичерина 7а'!E26+'Чичерина 8'!E26+#REF!+'Чичерина 16 к. 1'!E26+'пер.Чичерина 24'!E25+'пер. Чичерина 28'!E26+'Калинина 12'!E27+'Калинина 18'!E26+'Калинина 23'!E26+'Пионерская 9'!E26+'Высокая 4'!E26+'Пухова 15'!E26+#REF!+#REF!+'Пухова 17'!E26+'Калинина 4'!E26+'Пионерская 18'!E26+'Чичерина 12 к.1'!E26+'Телевизионная 6 к.1'!E26+#REF!+'Пионерская 2'!E26+'Телевизионная 2 к.1'!E26+'Чичерина 16'!E26+'Чичерина 22'!E26+#REF!+'Ленина 68,8'!E26+'Ленина 67'!E26+'Огарева 20'!E25+'Пролетарская 40'!E25+'Чижевского 4'!E26</f>
        <v>#REF!</v>
      </c>
      <c r="F26" s="8" t="e">
        <f>'Телевизионная 2а'!F25+'Пионерская 16'!F24+' Пионерская 1318 кв.1-50'!F25+'Багговута 12'!F26+'Пионерская 15'!F25+'Социалистическая 3'!F26+'Социалистическая 4'!F26+'Социалистическая 6'!F26+'Социалистическая 6 к.1'!F26+'Социалистическая 9'!F26+'Социалистическая 12'!F26+'Телевизионная 2'!F26+'Телевизионная 4'!F26+'Чичерина 7а'!F26+'Чичерина 8'!F26+#REF!+'Чичерина 16 к. 1'!F26+'пер.Чичерина 24'!F25+'пер. Чичерина 28'!F26+'Калинина 12'!F27+'Калинина 18'!F26+'Калинина 23'!F26+'Пионерская 9'!F26+'Высокая 4'!F26+'Пухова 15'!F26+#REF!+#REF!+'Пухова 17'!F26+'Калинина 4'!F26+'Пионерская 18'!F26+'Чичерина 12 к.1'!F26+'Телевизионная 6 к.1'!F26+#REF!+'Пионерская 2'!F26+'Телевизионная 2 к.1'!F26+'Чичерина 16'!F26+'Чичерина 22'!F26+#REF!+'Ленина 68,8'!F26+'Ленина 67'!F26+'Огарева 20'!F25+'Пролетарская 40'!F25+'Чижевского 4'!F26</f>
        <v>#REF!</v>
      </c>
      <c r="G26" s="8" t="e">
        <f>'Телевизионная 2а'!G25+'Пионерская 16'!G24+' Пионерская 1318 кв.1-50'!G25+'Багговута 12'!G26+'Пионерская 15'!G25+'Социалистическая 3'!G26+'Социалистическая 4'!G26+'Социалистическая 6'!G26+'Социалистическая 6 к.1'!G26+'Социалистическая 9'!G26+'Социалистическая 12'!G26+'Телевизионная 2'!G26+'Телевизионная 4'!G26+'Чичерина 7а'!G26+'Чичерина 8'!G26+#REF!+'Чичерина 16 к. 1'!G26+'пер.Чичерина 24'!G25+'пер. Чичерина 28'!G26+'Калинина 12'!G27+'Калинина 18'!G26+'Калинина 23'!G26+'Пионерская 9'!G26+'Высокая 4'!G26+'Пухова 15'!G26+#REF!+#REF!+'Пухова 17'!G26+'Калинина 4'!G26+'Пионерская 18'!G26+'Чичерина 12 к.1'!G26+'Телевизионная 6 к.1'!G26+#REF!+'Пионерская 2'!G26+'Телевизионная 2 к.1'!G26+'Чичерина 16'!G26+'Чичерина 22'!G26+#REF!+'Ленина 68,8'!G26+'Ленина 67'!G26+'Огарева 20'!G25+'Пролетарская 40'!G25+'Чижевского 4'!G26</f>
        <v>#REF!</v>
      </c>
    </row>
    <row r="27" spans="1:7" ht="30">
      <c r="A27" s="7" t="s">
        <v>33</v>
      </c>
      <c r="B27" s="7" t="s">
        <v>34</v>
      </c>
      <c r="C27" s="25">
        <v>0</v>
      </c>
      <c r="D27" s="8" t="e">
        <f>'Телевизионная 2а'!D26+'Пионерская 16'!#REF!+' Пионерская 1318 кв.1-50'!D26+'Багговута 12'!D27+'Пионерская 15'!D26+'Социалистическая 3'!D27+'Социалистическая 4'!D27+'Социалистическая 6'!D27+'Социалистическая 6 к.1'!D27+'Социалистическая 9'!D27+'Социалистическая 12'!D27+'Телевизионная 2'!D27+'Телевизионная 4'!D27+'Чичерина 7а'!D27+'Чичерина 8'!D27+#REF!+'Чичерина 16 к. 1'!D27+'пер.Чичерина 24'!D26+'пер. Чичерина 28'!D27+'Калинина 12'!D28+'Калинина 18'!D27+'Калинина 23'!D27+'Пионерская 9'!D27+'Высокая 4'!D27+'Пухова 15'!D27+#REF!+#REF!+'Пухова 17'!D27+'Калинина 4'!D27+'Пионерская 18'!D27+'Чичерина 12 к.1'!D27+'Телевизионная 6 к.1'!D27+#REF!+'Пионерская 2'!D27+'Телевизионная 2 к.1'!D27+'Чичерина 16'!D27+'Чичерина 22'!D27+#REF!+'Ленина 68,8'!D27+'Ленина 67'!D27+'Огарева 20'!D26+'Пролетарская 40'!D26+'Чижевского 4'!D27</f>
        <v>#REF!</v>
      </c>
      <c r="E27" s="8" t="e">
        <f>'Телевизионная 2а'!E26+'Пионерская 16'!#REF!+' Пионерская 1318 кв.1-50'!E26+'Багговута 12'!E27+'Пионерская 15'!E26+'Социалистическая 3'!E27+'Социалистическая 4'!E27+'Социалистическая 6'!E27+'Социалистическая 6 к.1'!E27+'Социалистическая 9'!E27+'Социалистическая 12'!E27+'Телевизионная 2'!E27+'Телевизионная 4'!E27+'Чичерина 7а'!E27+'Чичерина 8'!E27+#REF!+'Чичерина 16 к. 1'!E27+'пер.Чичерина 24'!E26+'пер. Чичерина 28'!E27+'Калинина 12'!E28+'Калинина 18'!E27+'Калинина 23'!E27+'Пионерская 9'!E27+'Высокая 4'!E27+'Пухова 15'!E27+#REF!+#REF!+'Пухова 17'!E27+'Калинина 4'!E27+'Пионерская 18'!E27+'Чичерина 12 к.1'!E27+'Телевизионная 6 к.1'!E27+#REF!+'Пионерская 2'!E27+'Телевизионная 2 к.1'!E27+'Чичерина 16'!E27+'Чичерина 22'!E27+#REF!+'Ленина 68,8'!E27+'Ленина 67'!E27+'Огарева 20'!E26+'Пролетарская 40'!E26+'Чижевского 4'!E27</f>
        <v>#REF!</v>
      </c>
      <c r="F27" s="8" t="e">
        <f>'Телевизионная 2а'!F26+'Пионерская 16'!#REF!+' Пионерская 1318 кв.1-50'!F26+'Багговута 12'!F27+'Пионерская 15'!F26+'Социалистическая 3'!F27+'Социалистическая 4'!F27+'Социалистическая 6'!F27+'Социалистическая 6 к.1'!F27+'Социалистическая 9'!F27+'Социалистическая 12'!F27+'Телевизионная 2'!F27+'Телевизионная 4'!F27+'Чичерина 7а'!F27+'Чичерина 8'!F27+#REF!+'Чичерина 16 к. 1'!F27+'пер.Чичерина 24'!F26+'пер. Чичерина 28'!F27+'Калинина 12'!F28+'Калинина 18'!F27+'Калинина 23'!F27+'Пионерская 9'!F27+'Высокая 4'!F27+'Пухова 15'!F27+#REF!+#REF!+'Пухова 17'!F27+'Калинина 4'!F27+'Пионерская 18'!F27+'Чичерина 12 к.1'!F27+'Телевизионная 6 к.1'!F27+#REF!+'Пионерская 2'!F27+'Телевизионная 2 к.1'!F27+'Чичерина 16'!F27+'Чичерина 22'!F27+#REF!+'Ленина 68,8'!F27+'Ленина 67'!F27+'Огарева 20'!F26+'Пролетарская 40'!F26+'Чижевского 4'!F27</f>
        <v>#REF!</v>
      </c>
      <c r="G27" s="8" t="e">
        <f>'Телевизионная 2а'!G26+'Пионерская 16'!#REF!+' Пионерская 1318 кв.1-50'!G26+'Багговута 12'!G27+'Пионерская 15'!G26+'Социалистическая 3'!G27+'Социалистическая 4'!G27+'Социалистическая 6'!G27+'Социалистическая 6 к.1'!G27+'Социалистическая 9'!G27+'Социалистическая 12'!G27+'Телевизионная 2'!G27+'Телевизионная 4'!G27+'Чичерина 7а'!G27+'Чичерина 8'!G27+#REF!+'Чичерина 16 к. 1'!G27+'пер.Чичерина 24'!G26+'пер. Чичерина 28'!G27+'Калинина 12'!G28+'Калинина 18'!G27+'Калинина 23'!G27+'Пионерская 9'!G27+'Высокая 4'!G27+'Пухова 15'!G27+#REF!+#REF!+'Пухова 17'!G27+'Калинина 4'!G27+'Пионерская 18'!G27+'Чичерина 12 к.1'!G27+'Телевизионная 6 к.1'!G27+#REF!+'Пионерская 2'!G27+'Телевизионная 2 к.1'!G27+'Чичерина 16'!G27+'Чичерина 22'!G27+#REF!+'Ленина 68,8'!G27+'Ленина 67'!G27+'Огарева 20'!G26+'Пролетарская 40'!G26+'Чижевского 4'!G27</f>
        <v>#REF!</v>
      </c>
    </row>
    <row r="28" spans="1:7" ht="30">
      <c r="A28" s="7" t="s">
        <v>35</v>
      </c>
      <c r="B28" s="7" t="s">
        <v>36</v>
      </c>
      <c r="C28" s="25">
        <f>SUM(C29:C32)</f>
        <v>1680.9299999999998</v>
      </c>
      <c r="D28" s="8" t="e">
        <f>'Телевизионная 2а'!D27+'Пионерская 16'!D25+' Пионерская 1318 кв.1-50'!D27+'Багговута 12'!D28+'Пионерская 15'!D27+'Социалистическая 3'!D28+'Социалистическая 4'!D28+'Социалистическая 6'!D28+'Социалистическая 6 к.1'!D28+'Социалистическая 9'!D28+'Социалистическая 12'!D28+'Телевизионная 2'!D28+'Телевизионная 4'!D28+'Чичерина 7а'!D28+'Чичерина 8'!D28+#REF!+'Чичерина 16 к. 1'!D28+'пер.Чичерина 24'!D27+'пер. Чичерина 28'!D28+'Калинина 12'!D29+'Калинина 18'!D28+'Калинина 23'!D28+'Пионерская 9'!D28+'Высокая 4'!D28+'Пухова 15'!D28+#REF!+#REF!+'Пухова 17'!D28+'Калинина 4'!D29+'Пионерская 18'!D28+'Чичерина 12 к.1'!D28+'Телевизионная 6 к.1'!D28+#REF!+'Пионерская 2'!D28+'Телевизионная 2 к.1'!D28+'Чичерина 16'!D28+'Чичерина 22'!D28+#REF!+'Ленина 68,8'!D29+'Ленина 67'!D28+'Огарева 20'!D27+'Пролетарская 40'!D27+'Чижевского 4'!D28</f>
        <v>#REF!</v>
      </c>
      <c r="E28" s="8" t="e">
        <f>'Телевизионная 2а'!E27+'Пионерская 16'!E25+' Пионерская 1318 кв.1-50'!E27+'Багговута 12'!E28+'Пионерская 15'!E27+'Социалистическая 3'!E28+'Социалистическая 4'!E28+'Социалистическая 6'!E28+'Социалистическая 6 к.1'!E28+'Социалистическая 9'!E28+'Социалистическая 12'!E28+'Телевизионная 2'!E28+'Телевизионная 4'!E28+'Чичерина 7а'!E28+'Чичерина 8'!E28+#REF!+'Чичерина 16 к. 1'!E28+'пер.Чичерина 24'!E27+'пер. Чичерина 28'!E28+'Калинина 12'!E29+'Калинина 18'!E28+'Калинина 23'!E28+'Пионерская 9'!E28+'Высокая 4'!E28+'Пухова 15'!E28+#REF!+#REF!+'Пухова 17'!E28+'Калинина 4'!E29+'Пионерская 18'!E28+'Чичерина 12 к.1'!E28+'Телевизионная 6 к.1'!E28+#REF!+'Пионерская 2'!E28+'Телевизионная 2 к.1'!E28+'Чичерина 16'!E28+'Чичерина 22'!E28+#REF!+'Ленина 68,8'!E29+'Ленина 67'!E28+'Огарева 20'!E27+'Пролетарская 40'!E27+'Чижевского 4'!E28</f>
        <v>#REF!</v>
      </c>
      <c r="F28" s="8" t="e">
        <f>'Телевизионная 2а'!F27+'Пионерская 16'!F25+' Пионерская 1318 кв.1-50'!F27+'Багговута 12'!F28+'Пионерская 15'!F27+'Социалистическая 3'!F28+'Социалистическая 4'!F28+'Социалистическая 6'!F28+'Социалистическая 6 к.1'!F28+'Социалистическая 9'!F28+'Социалистическая 12'!F28+'Телевизионная 2'!F28+'Телевизионная 4'!F28+'Чичерина 7а'!F28+'Чичерина 8'!F28+#REF!+'Чичерина 16 к. 1'!F28+'пер.Чичерина 24'!F27+'пер. Чичерина 28'!F28+'Калинина 12'!F29+'Калинина 18'!F28+'Калинина 23'!F28+'Пионерская 9'!F28+'Высокая 4'!F28+'Пухова 15'!F28+#REF!+#REF!+'Пухова 17'!F28+'Калинина 4'!F29+'Пионерская 18'!F28+'Чичерина 12 к.1'!F28+'Телевизионная 6 к.1'!F28+#REF!+'Пионерская 2'!F28+'Телевизионная 2 к.1'!F28+'Чичерина 16'!F28+'Чичерина 22'!F28+#REF!+'Ленина 68,8'!F29+'Ленина 67'!F28+'Огарева 20'!F27+'Пролетарская 40'!F27+'Чижевского 4'!F28</f>
        <v>#REF!</v>
      </c>
      <c r="G28" s="8" t="e">
        <f>'Телевизионная 2а'!G27+'Пионерская 16'!G25+' Пионерская 1318 кв.1-50'!G27+'Багговута 12'!G28+'Пионерская 15'!G27+'Социалистическая 3'!G28+'Социалистическая 4'!G28+'Социалистическая 6'!G28+'Социалистическая 6 к.1'!G28+'Социалистическая 9'!G28+'Социалистическая 12'!G28+'Телевизионная 2'!G28+'Телевизионная 4'!G28+'Чичерина 7а'!G28+'Чичерина 8'!G28+#REF!+'Чичерина 16 к. 1'!G28+'пер.Чичерина 24'!G27+'пер. Чичерина 28'!G28+'Калинина 12'!G29+'Калинина 18'!G28+'Калинина 23'!G28+'Пионерская 9'!G28+'Высокая 4'!G28+'Пухова 15'!G28+#REF!+#REF!+'Пухова 17'!G28+'Калинина 4'!G29+'Пионерская 18'!G28+'Чичерина 12 к.1'!G28+'Телевизионная 6 к.1'!G28+#REF!+'Пионерская 2'!G28+'Телевизионная 2 к.1'!G28+'Чичерина 16'!G28+'Чичерина 22'!G28+#REF!+'Ленина 68,8'!G29+'Ленина 67'!G28+'Огарева 20'!G27+'Пролетарская 40'!G27+'Чижевского 4'!G28</f>
        <v>#REF!</v>
      </c>
    </row>
    <row r="29" spans="1:7" ht="15">
      <c r="A29" s="7" t="s">
        <v>37</v>
      </c>
      <c r="B29" s="7" t="s">
        <v>96</v>
      </c>
      <c r="C29" s="12">
        <v>3.13</v>
      </c>
      <c r="D29" s="8" t="e">
        <f>'Телевизионная 2а'!D28+'Пионерская 16'!D26+' Пионерская 1318 кв.1-50'!D28+'Багговута 12'!D29+'Пионерская 15'!D28+'Социалистическая 3'!D29+'Социалистическая 4'!D29+'Социалистическая 6'!D29+'Социалистическая 6 к.1'!D29+'Социалистическая 9'!D29+'Социалистическая 12'!D29+'Телевизионная 2'!D29+'Телевизионная 4'!D29+'Чичерина 7а'!D29+'Чичерина 8'!D29+#REF!+'Чичерина 16 к. 1'!D29+'пер.Чичерина 24'!D28+'пер. Чичерина 28'!D29+'Калинина 12'!D30+'Калинина 18'!D29+'Калинина 23'!D29+'Пионерская 9'!D29+'Высокая 4'!D29+'Пухова 15'!D29+#REF!+#REF!+'Пухова 17'!D29+'Калинина 4'!D30+'Пионерская 18'!D29+'Чичерина 12 к.1'!D29+'Телевизионная 6 к.1'!D29+#REF!+'Пионерская 2'!D29+'Телевизионная 2 к.1'!D29+'Чичерина 16'!D29+'Чичерина 22'!D29+#REF!+'Ленина 68,8'!D30+'Ленина 67'!D29+'Огарева 20'!D28+'Пролетарская 40'!D28+'Чижевского 4'!D29</f>
        <v>#REF!</v>
      </c>
      <c r="E29" s="8" t="e">
        <f>'Телевизионная 2а'!E28+'Пионерская 16'!E26+' Пионерская 1318 кв.1-50'!E28+'Багговута 12'!E29+'Пионерская 15'!E28+'Социалистическая 3'!E29+'Социалистическая 4'!E29+'Социалистическая 6'!E29+'Социалистическая 6 к.1'!E29+'Социалистическая 9'!E29+'Социалистическая 12'!E29+'Телевизионная 2'!E29+'Телевизионная 4'!E29+'Чичерина 7а'!E29+'Чичерина 8'!E29+#REF!+'Чичерина 16 к. 1'!E29+'пер.Чичерина 24'!E28+'пер. Чичерина 28'!E29+'Калинина 12'!E30+'Калинина 18'!E29+'Калинина 23'!E29+'Пионерская 9'!E29+'Высокая 4'!E29+'Пухова 15'!E29+#REF!+#REF!+'Пухова 17'!E29+'Калинина 4'!E30+'Пионерская 18'!E29+'Чичерина 12 к.1'!E29+'Телевизионная 6 к.1'!E29+#REF!+'Пионерская 2'!E29+'Телевизионная 2 к.1'!E29+'Чичерина 16'!E29+'Чичерина 22'!E29+#REF!+'Ленина 68,8'!E30+'Ленина 67'!E29+'Огарева 20'!E28+'Пролетарская 40'!E28+'Чижевского 4'!E29</f>
        <v>#REF!</v>
      </c>
      <c r="F29" s="8" t="e">
        <f>'Телевизионная 2а'!F28+'Пионерская 16'!F26+' Пионерская 1318 кв.1-50'!F28+'Багговута 12'!F29+'Пионерская 15'!F28+'Социалистическая 3'!F29+'Социалистическая 4'!F29+'Социалистическая 6'!F29+'Социалистическая 6 к.1'!F29+'Социалистическая 9'!F29+'Социалистическая 12'!F29+'Телевизионная 2'!F29+'Телевизионная 4'!F29+'Чичерина 7а'!F29+'Чичерина 8'!F29+#REF!+'Чичерина 16 к. 1'!F29+'пер.Чичерина 24'!F28+'пер. Чичерина 28'!F29+'Калинина 12'!F30+'Калинина 18'!F29+'Калинина 23'!F29+'Пионерская 9'!F29+'Высокая 4'!F29+'Пухова 15'!F29+#REF!+#REF!+'Пухова 17'!F29+'Калинина 4'!F30+'Пионерская 18'!F29+'Чичерина 12 к.1'!F29+'Телевизионная 6 к.1'!F29+#REF!+'Пионерская 2'!F29+'Телевизионная 2 к.1'!F29+'Чичерина 16'!F29+'Чичерина 22'!F29+#REF!+'Ленина 68,8'!F30+'Ленина 67'!F29+'Огарева 20'!F28+'Пролетарская 40'!F28+'Чижевского 4'!F29</f>
        <v>#REF!</v>
      </c>
      <c r="G29" s="8" t="e">
        <f>'Телевизионная 2а'!G28+'Пионерская 16'!G26+' Пионерская 1318 кв.1-50'!G28+'Багговута 12'!G29+'Пионерская 15'!G28+'Социалистическая 3'!G29+'Социалистическая 4'!G29+'Социалистическая 6'!G29+'Социалистическая 6 к.1'!G29+'Социалистическая 9'!G29+'Социалистическая 12'!G29+'Телевизионная 2'!G29+'Телевизионная 4'!G29+'Чичерина 7а'!G29+'Чичерина 8'!G29+#REF!+'Чичерина 16 к. 1'!G29+'пер.Чичерина 24'!G28+'пер. Чичерина 28'!G29+'Калинина 12'!G30+'Калинина 18'!G29+'Калинина 23'!G29+'Пионерская 9'!G29+'Высокая 4'!G29+'Пухова 15'!G29+#REF!+#REF!+'Пухова 17'!G29+'Калинина 4'!G30+'Пионерская 18'!G29+'Чичерина 12 к.1'!G29+'Телевизионная 6 к.1'!G29+#REF!+'Пионерская 2'!G29+'Телевизионная 2 к.1'!G29+'Чичерина 16'!G29+'Чичерина 22'!G29+#REF!+'Ленина 68,8'!G30+'Ленина 67'!G29+'Огарева 20'!G28+'Пролетарская 40'!G28+'Чижевского 4'!G29</f>
        <v>#REF!</v>
      </c>
    </row>
    <row r="30" spans="1:7" ht="15">
      <c r="A30" s="7" t="s">
        <v>39</v>
      </c>
      <c r="B30" s="7" t="s">
        <v>38</v>
      </c>
      <c r="C30" s="12">
        <v>18.21</v>
      </c>
      <c r="D30" s="8" t="e">
        <f>'Телевизионная 2а'!D29+'Пионерская 16'!D27+' Пионерская 1318 кв.1-50'!D29+'Багговута 12'!D30+'Пионерская 15'!D29+'Социалистическая 3'!D30+'Социалистическая 4'!D30+'Социалистическая 6'!D30+'Социалистическая 6 к.1'!D30+'Социалистическая 9'!D30+'Социалистическая 12'!D30+'Телевизионная 2'!D30+'Телевизионная 4'!D30+'Чичерина 7а'!D30+'Чичерина 8'!D30+#REF!+'Чичерина 16 к. 1'!D30+'пер.Чичерина 24'!D29+'пер. Чичерина 28'!D30+'Калинина 12'!D31+'Калинина 18'!D30+'Калинина 23'!D30+'Пионерская 9'!D30+'Высокая 4'!D30+'Пухова 15'!D30+#REF!+#REF!+'Пухова 17'!D30+'Калинина 4'!D31+'Пионерская 18'!D30+'Чичерина 12 к.1'!D30+'Телевизионная 6 к.1'!D30+#REF!+'Пионерская 2'!D30+'Телевизионная 2 к.1'!D30+'Чичерина 16'!D30+'Чичерина 22'!D30+#REF!+'Ленина 68,8'!D31+'Ленина 67'!D30+'Огарева 20'!D29+'Пролетарская 40'!D29+'Чижевского 4'!D30</f>
        <v>#REF!</v>
      </c>
      <c r="E30" s="8" t="e">
        <f>'Телевизионная 2а'!E29+'Пионерская 16'!E27+' Пионерская 1318 кв.1-50'!E29+'Багговута 12'!E30+'Пионерская 15'!E29+'Социалистическая 3'!E30+'Социалистическая 4'!E30+'Социалистическая 6'!E30+'Социалистическая 6 к.1'!E30+'Социалистическая 9'!E30+'Социалистическая 12'!E30+'Телевизионная 2'!E30+'Телевизионная 4'!E30+'Чичерина 7а'!E30+'Чичерина 8'!E30+#REF!+'Чичерина 16 к. 1'!E30+'пер.Чичерина 24'!E29+'пер. Чичерина 28'!E30+'Калинина 12'!E31+'Калинина 18'!E30+'Калинина 23'!E30+'Пионерская 9'!E30+'Высокая 4'!E30+'Пухова 15'!E30+#REF!+#REF!+'Пухова 17'!E30+'Калинина 4'!E31+'Пионерская 18'!E30+'Чичерина 12 к.1'!E30+'Телевизионная 6 к.1'!E30+#REF!+'Пионерская 2'!E30+'Телевизионная 2 к.1'!E30+'Чичерина 16'!E30+'Чичерина 22'!E30+#REF!+'Ленина 68,8'!E31+'Ленина 67'!E30+'Огарева 20'!E29+'Пролетарская 40'!E29+'Чижевского 4'!E30</f>
        <v>#REF!</v>
      </c>
      <c r="F30" s="8" t="e">
        <f>'Телевизионная 2а'!F29+'Пионерская 16'!F27+' Пионерская 1318 кв.1-50'!F29+'Багговута 12'!F30+'Пионерская 15'!F29+'Социалистическая 3'!F30+'Социалистическая 4'!F30+'Социалистическая 6'!F30+'Социалистическая 6 к.1'!F30+'Социалистическая 9'!F30+'Социалистическая 12'!F30+'Телевизионная 2'!F30+'Телевизионная 4'!F30+'Чичерина 7а'!F30+'Чичерина 8'!F30+#REF!+'Чичерина 16 к. 1'!F30+'пер.Чичерина 24'!F29+'пер. Чичерина 28'!F30+'Калинина 12'!F31+'Калинина 18'!F30+'Калинина 23'!F30+'Пионерская 9'!F30+'Высокая 4'!F30+'Пухова 15'!F30+#REF!+#REF!+'Пухова 17'!F30+'Калинина 4'!F31+'Пионерская 18'!F30+'Чичерина 12 к.1'!F30+'Телевизионная 6 к.1'!F30+#REF!+'Пионерская 2'!F30+'Телевизионная 2 к.1'!F30+'Чичерина 16'!F30+'Чичерина 22'!F30+#REF!+'Ленина 68,8'!F31+'Ленина 67'!F30+'Огарева 20'!F29+'Пролетарская 40'!F29+'Чижевского 4'!F30</f>
        <v>#REF!</v>
      </c>
      <c r="G30" s="8" t="e">
        <f>'Телевизионная 2а'!G29+'Пионерская 16'!G27+' Пионерская 1318 кв.1-50'!G29+'Багговута 12'!G30+'Пионерская 15'!G29+'Социалистическая 3'!G30+'Социалистическая 4'!G30+'Социалистическая 6'!G30+'Социалистическая 6 к.1'!G30+'Социалистическая 9'!G30+'Социалистическая 12'!G30+'Телевизионная 2'!G30+'Телевизионная 4'!G30+'Чичерина 7а'!G30+'Чичерина 8'!G30+#REF!+'Чичерина 16 к. 1'!G30+'пер.Чичерина 24'!G29+'пер. Чичерина 28'!G30+'Калинина 12'!G31+'Калинина 18'!G30+'Калинина 23'!G30+'Пионерская 9'!G30+'Высокая 4'!G30+'Пухова 15'!G30+#REF!+#REF!+'Пухова 17'!G30+'Калинина 4'!G31+'Пионерская 18'!G30+'Чичерина 12 к.1'!G30+'Телевизионная 6 к.1'!G30+#REF!+'Пионерская 2'!G30+'Телевизионная 2 к.1'!G30+'Чичерина 16'!G30+'Чичерина 22'!G30+#REF!+'Ленина 68,8'!G31+'Ленина 67'!G30+'Огарева 20'!G29+'Пролетарская 40'!G29+'Чижевского 4'!G30</f>
        <v>#REF!</v>
      </c>
    </row>
    <row r="31" spans="1:7" ht="15">
      <c r="A31" s="7" t="s">
        <v>42</v>
      </c>
      <c r="B31" s="7" t="s">
        <v>40</v>
      </c>
      <c r="C31" s="12">
        <v>115.3</v>
      </c>
      <c r="D31" s="8" t="e">
        <f>'Телевизионная 2а'!D30+'Пионерская 16'!D28+' Пионерская 1318 кв.1-50'!D30+'Багговута 12'!D31+'Пионерская 15'!D30+'Социалистическая 3'!D31+'Социалистическая 4'!D31+'Социалистическая 6'!D31+'Социалистическая 6 к.1'!D31+'Социалистическая 9'!D31+'Социалистическая 12'!D31+'Телевизионная 2'!D31+'Телевизионная 4'!D31+'Чичерина 7а'!D31+'Чичерина 8'!D31+#REF!+'Чичерина 16 к. 1'!D31+'пер.Чичерина 24'!D30+'пер. Чичерина 28'!D31+'Калинина 12'!D32+'Калинина 18'!D31+'Калинина 23'!D31+'Пионерская 9'!D31+'Высокая 4'!D31+'Пухова 15'!D31+#REF!+#REF!+'Пухова 17'!D31+'Калинина 4'!D32+'Пионерская 18'!D31+'Чичерина 12 к.1'!D31+'Телевизионная 6 к.1'!D31+#REF!+'Пионерская 2'!D31+'Телевизионная 2 к.1'!D31+'Чичерина 16'!D31+'Чичерина 22'!D31+#REF!+'Ленина 68,8'!D32+'Ленина 67'!D31+'Огарева 20'!D30+'Пролетарская 40'!D30+'Чижевского 4'!D31</f>
        <v>#REF!</v>
      </c>
      <c r="E31" s="8" t="e">
        <f>'Телевизионная 2а'!E30+'Пионерская 16'!E28+' Пионерская 1318 кв.1-50'!E30+'Багговута 12'!E31+'Пионерская 15'!E30+'Социалистическая 3'!E31+'Социалистическая 4'!E31+'Социалистическая 6'!E31+'Социалистическая 6 к.1'!E31+'Социалистическая 9'!E31+'Социалистическая 12'!E31+'Телевизионная 2'!E31+'Телевизионная 4'!E31+'Чичерина 7а'!E31+'Чичерина 8'!E31+#REF!+'Чичерина 16 к. 1'!E31+'пер.Чичерина 24'!E30+'пер. Чичерина 28'!E31+'Калинина 12'!E32+'Калинина 18'!E31+'Калинина 23'!E31+'Пионерская 9'!E31+'Высокая 4'!E31+'Пухова 15'!E31+#REF!+#REF!+'Пухова 17'!E31+'Калинина 4'!E32+'Пионерская 18'!E31+'Чичерина 12 к.1'!E31+'Телевизионная 6 к.1'!E31+#REF!+'Пионерская 2'!E31+'Телевизионная 2 к.1'!E31+'Чичерина 16'!E31+'Чичерина 22'!E31+#REF!+'Ленина 68,8'!E32+'Ленина 67'!E31+'Огарева 20'!E30+'Пролетарская 40'!E30+'Чижевского 4'!E31</f>
        <v>#REF!</v>
      </c>
      <c r="F31" s="8" t="e">
        <f>'Телевизионная 2а'!F30+'Пионерская 16'!F28+' Пионерская 1318 кв.1-50'!F30+'Багговута 12'!F31+'Пионерская 15'!F30+'Социалистическая 3'!F31+'Социалистическая 4'!F31+'Социалистическая 6'!F31+'Социалистическая 6 к.1'!F31+'Социалистическая 9'!F31+'Социалистическая 12'!F31+'Телевизионная 2'!F31+'Телевизионная 4'!F31+'Чичерина 7а'!F31+'Чичерина 8'!F31+#REF!+'Чичерина 16 к. 1'!F31+'пер.Чичерина 24'!F30+'пер. Чичерина 28'!F31+'Калинина 12'!F32+'Калинина 18'!F31+'Калинина 23'!F31+'Пионерская 9'!F31+'Высокая 4'!F31+'Пухова 15'!F31+#REF!+#REF!+'Пухова 17'!F31+'Калинина 4'!F32+'Пионерская 18'!F31+'Чичерина 12 к.1'!F31+'Телевизионная 6 к.1'!F31+#REF!+'Пионерская 2'!F31+'Телевизионная 2 к.1'!F31+'Чичерина 16'!F31+'Чичерина 22'!F31+#REF!+'Ленина 68,8'!F32+'Ленина 67'!F31+'Огарева 20'!F30+'Пролетарская 40'!F30+'Чижевского 4'!F31</f>
        <v>#REF!</v>
      </c>
      <c r="G31" s="8" t="e">
        <f>'Телевизионная 2а'!G30+'Пионерская 16'!G28+' Пионерская 1318 кв.1-50'!G30+'Багговута 12'!G31+'Пионерская 15'!G30+'Социалистическая 3'!G31+'Социалистическая 4'!G31+'Социалистическая 6'!G31+'Социалистическая 6 к.1'!G31+'Социалистическая 9'!G31+'Социалистическая 12'!G31+'Телевизионная 2'!G31+'Телевизионная 4'!G31+'Чичерина 7а'!G31+'Чичерина 8'!G31+#REF!+'Чичерина 16 к. 1'!G31+'пер.Чичерина 24'!G30+'пер. Чичерина 28'!G31+'Калинина 12'!G32+'Калинина 18'!G31+'Калинина 23'!G31+'Пионерская 9'!G31+'Высокая 4'!G31+'Пухова 15'!G31+#REF!+#REF!+'Пухова 17'!G31+'Калинина 4'!G32+'Пионерская 18'!G31+'Чичерина 12 к.1'!G31+'Телевизионная 6 к.1'!G31+#REF!+'Пионерская 2'!G31+'Телевизионная 2 к.1'!G31+'Чичерина 16'!G31+'Чичерина 22'!G31+#REF!+'Ленина 68,8'!G32+'Ленина 67'!G31+'Огарева 20'!G30+'Пролетарская 40'!G30+'Чижевского 4'!G31</f>
        <v>#REF!</v>
      </c>
    </row>
    <row r="32" spans="1:7" ht="15">
      <c r="A32" s="7" t="s">
        <v>41</v>
      </c>
      <c r="B32" s="7" t="s">
        <v>43</v>
      </c>
      <c r="C32" s="12">
        <v>1544.29</v>
      </c>
      <c r="D32" s="8" t="e">
        <f>'Телевизионная 2а'!D31+'Пионерская 16'!D29+' Пионерская 1318 кв.1-50'!D31+'Багговута 12'!#REF!+'Пионерская 15'!D31+'Социалистическая 3'!D32+'Социалистическая 4'!D32+'Социалистическая 6'!D32+'Социалистическая 6 к.1'!D32+'Социалистическая 9'!D32+'Социалистическая 12'!D32+'Телевизионная 2'!D32+'Телевизионная 4'!D32+'Чичерина 7а'!D32+'Чичерина 8'!D32+#REF!+'Чичерина 16 к. 1'!D32+'пер.Чичерина 24'!D31+'пер. Чичерина 28'!D32+'Калинина 12'!D33+'Калинина 18'!D32+'Калинина 23'!D32+'Пионерская 9'!D32+'Высокая 4'!D32+'Пухова 15'!D32+#REF!+#REF!+'Пухова 17'!D32+'Калинина 4'!D33+'Пионерская 18'!D32+'Чичерина 12 к.1'!D32+'Телевизионная 6 к.1'!D32+#REF!+'Пионерская 2'!D32+'Телевизионная 2 к.1'!D32+'Чичерина 16'!D32+'Чичерина 22'!D32+#REF!+'Ленина 68,8'!D33+'Ленина 67'!D32+'Огарева 20'!D31+'Пролетарская 40'!D31+'Чижевского 4'!D32</f>
        <v>#REF!</v>
      </c>
      <c r="E32" s="8" t="e">
        <f>'Телевизионная 2а'!E31+'Пионерская 16'!E29+' Пионерская 1318 кв.1-50'!E31+'Багговута 12'!#REF!+'Пионерская 15'!E31+'Социалистическая 3'!E32+'Социалистическая 4'!E32+'Социалистическая 6'!E32+'Социалистическая 6 к.1'!E32+'Социалистическая 9'!E32+'Социалистическая 12'!E32+'Телевизионная 2'!E32+'Телевизионная 4'!E32+'Чичерина 7а'!E32+'Чичерина 8'!E32+#REF!+'Чичерина 16 к. 1'!E32+'пер.Чичерина 24'!E31+'пер. Чичерина 28'!E32+'Калинина 12'!E33+'Калинина 18'!E32+'Калинина 23'!E32+'Пионерская 9'!E32+'Высокая 4'!E32+'Пухова 15'!E32+#REF!+#REF!+'Пухова 17'!E32+'Калинина 4'!E33+'Пионерская 18'!E32+'Чичерина 12 к.1'!E32+'Телевизионная 6 к.1'!E32+#REF!+'Пионерская 2'!E32+'Телевизионная 2 к.1'!E32+'Чичерина 16'!E32+'Чичерина 22'!E32+#REF!+'Ленина 68,8'!E33+'Ленина 67'!E32+'Огарева 20'!E31+'Пролетарская 40'!E31+'Чижевского 4'!E32</f>
        <v>#REF!</v>
      </c>
      <c r="F32" s="8" t="e">
        <f>'Телевизионная 2а'!F31+'Пионерская 16'!F29+' Пионерская 1318 кв.1-50'!F31+'Багговута 12'!#REF!+'Пионерская 15'!F31+'Социалистическая 3'!F32+'Социалистическая 4'!F32+'Социалистическая 6'!F32+'Социалистическая 6 к.1'!F32+'Социалистическая 9'!F32+'Социалистическая 12'!F32+'Телевизионная 2'!F32+'Телевизионная 4'!F32+'Чичерина 7а'!F32+'Чичерина 8'!F32+#REF!+'Чичерина 16 к. 1'!F32+'пер.Чичерина 24'!F31+'пер. Чичерина 28'!F32+'Калинина 12'!F33+'Калинина 18'!F32+'Калинина 23'!F32+'Пионерская 9'!F32+'Высокая 4'!F32+'Пухова 15'!F32+#REF!+#REF!+'Пухова 17'!F32+'Калинина 4'!F33+'Пионерская 18'!F32+'Чичерина 12 к.1'!F32+'Телевизионная 6 к.1'!F32+#REF!+'Пионерская 2'!F32+'Телевизионная 2 к.1'!F32+'Чичерина 16'!F32+'Чичерина 22'!F32+#REF!+'Ленина 68,8'!F33+'Ленина 67'!F32+'Огарева 20'!F31+'Пролетарская 40'!F31+'Чижевского 4'!F32</f>
        <v>#REF!</v>
      </c>
      <c r="G32" s="8" t="e">
        <f>'Телевизионная 2а'!G31+'Пионерская 16'!G29+' Пионерская 1318 кв.1-50'!G31+'Багговута 12'!#REF!+'Пионерская 15'!G31+'Социалистическая 3'!G32+'Социалистическая 4'!G32+'Социалистическая 6'!G32+'Социалистическая 6 к.1'!G32+'Социалистическая 9'!G32+'Социалистическая 12'!G32+'Телевизионная 2'!G32+'Телевизионная 4'!G32+'Чичерина 7а'!G32+'Чичерина 8'!G32+#REF!+'Чичерина 16 к. 1'!G32+'пер.Чичерина 24'!G31+'пер. Чичерина 28'!G32+'Калинина 12'!G33+'Калинина 18'!G32+'Калинина 23'!G32+'Пионерская 9'!G32+'Высокая 4'!G32+'Пухова 15'!G32+#REF!+#REF!+'Пухова 17'!G32+'Калинина 4'!G33+'Пионерская 18'!G32+'Чичерина 12 к.1'!G32+'Телевизионная 6 к.1'!G32+#REF!+'Пионерская 2'!G32+'Телевизионная 2 к.1'!G32+'Чичерина 16'!G32+'Чичерина 22'!G32+#REF!+'Ленина 68,8'!G33+'Ленина 67'!G32+'Огарева 20'!G31+'Пролетарская 40'!G31+'Чижевского 4'!G32</f>
        <v>#REF!</v>
      </c>
    </row>
    <row r="33" spans="1:10" s="16" customFormat="1" ht="13.5">
      <c r="A33" s="481" t="s">
        <v>97</v>
      </c>
      <c r="B33" s="482"/>
      <c r="C33" s="483"/>
      <c r="D33" s="15" t="e">
        <f aca="true" t="shared" si="0" ref="D33:J33">D18+D23+D24+D25+D28</f>
        <v>#REF!</v>
      </c>
      <c r="E33" s="15" t="e">
        <f t="shared" si="0"/>
        <v>#REF!</v>
      </c>
      <c r="F33" s="15" t="e">
        <f t="shared" si="0"/>
        <v>#REF!</v>
      </c>
      <c r="G33" s="15" t="e">
        <f t="shared" si="0"/>
        <v>#REF!</v>
      </c>
      <c r="H33" s="15">
        <f t="shared" si="0"/>
        <v>6.75</v>
      </c>
      <c r="I33" s="15">
        <f t="shared" si="0"/>
        <v>0</v>
      </c>
      <c r="J33" s="15">
        <f t="shared" si="0"/>
        <v>0</v>
      </c>
    </row>
    <row r="34" s="3" customFormat="1" ht="15"/>
    <row r="35" spans="1:9" s="3" customFormat="1" ht="15">
      <c r="A35" s="3" t="s">
        <v>55</v>
      </c>
      <c r="G35" s="3" t="s">
        <v>49</v>
      </c>
      <c r="I35" s="3" t="s">
        <v>93</v>
      </c>
    </row>
    <row r="36" s="3" customFormat="1" ht="15"/>
    <row r="37" s="3" customFormat="1" ht="15"/>
    <row r="38" s="3" customFormat="1" ht="15">
      <c r="G38" s="4" t="s">
        <v>99</v>
      </c>
    </row>
    <row r="39" s="3" customFormat="1" ht="15"/>
    <row r="40" s="3" customFormat="1" ht="15"/>
    <row r="41" s="3" customFormat="1" ht="15">
      <c r="A41" s="3" t="s">
        <v>50</v>
      </c>
    </row>
    <row r="42" spans="3:7" s="3" customFormat="1" ht="15">
      <c r="C42" s="10" t="s">
        <v>51</v>
      </c>
      <c r="E42" s="10"/>
      <c r="F42" s="10"/>
      <c r="G42" s="10"/>
    </row>
    <row r="43" s="3" customFormat="1" ht="15"/>
    <row r="44" s="3" customFormat="1" ht="15"/>
  </sheetData>
  <sheetProtection/>
  <mergeCells count="8">
    <mergeCell ref="A15:I15"/>
    <mergeCell ref="A33:C33"/>
    <mergeCell ref="A1:I1"/>
    <mergeCell ref="A2:I2"/>
    <mergeCell ref="A3:I3"/>
    <mergeCell ref="A5:I5"/>
    <mergeCell ref="A13:I13"/>
    <mergeCell ref="A14:I1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P57"/>
  <sheetViews>
    <sheetView zoomScalePageLayoutView="0" workbookViewId="0" topLeftCell="A23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0.57421875" style="35" customWidth="1"/>
    <col min="3" max="3" width="13.140625" style="35" customWidth="1"/>
    <col min="4" max="5" width="13.140625" style="35" bestFit="1" customWidth="1"/>
    <col min="6" max="6" width="15.4218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35" bestFit="1" customWidth="1" collapsed="1"/>
    <col min="14" max="14" width="14.7109375" style="35" customWidth="1"/>
    <col min="15" max="15" width="15.7109375" style="35" customWidth="1"/>
    <col min="16" max="16" width="11.00390625" style="35" customWidth="1"/>
    <col min="17" max="17" width="9.140625" style="35" customWidth="1"/>
    <col min="18" max="18" width="13.140625" style="35" bestFit="1" customWidth="1"/>
    <col min="19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9.7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3.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7" spans="1:6" s="67" customFormat="1" ht="16.5" customHeight="1">
      <c r="A7" s="67" t="s">
        <v>2</v>
      </c>
      <c r="F7" s="128" t="s">
        <v>57</v>
      </c>
    </row>
    <row r="8" spans="1:6" s="67" customFormat="1" ht="15">
      <c r="A8" s="67" t="s">
        <v>3</v>
      </c>
      <c r="F8" s="128" t="s">
        <v>58</v>
      </c>
    </row>
    <row r="9" s="67" customFormat="1" ht="12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'[1]Багговута 12'!$G$36</f>
        <v>21544.37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'[1]Багговута 12'!$G$37</f>
        <v>-103516.00240000001</v>
      </c>
      <c r="H15" s="62"/>
      <c r="I15" s="62"/>
    </row>
    <row r="16" s="67" customFormat="1" ht="7.5" customHeight="1"/>
    <row r="17" spans="1:8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  <c r="H17" s="72"/>
    </row>
    <row r="18" spans="1:16" s="169" customFormat="1" ht="14.25">
      <c r="A18" s="75" t="s">
        <v>14</v>
      </c>
      <c r="B18" s="136" t="s">
        <v>15</v>
      </c>
      <c r="C18" s="137">
        <f>C19+C20+C21+C22</f>
        <v>9.879999999999999</v>
      </c>
      <c r="D18" s="76">
        <v>343700.97</v>
      </c>
      <c r="E18" s="76">
        <v>328979.72</v>
      </c>
      <c r="F18" s="76">
        <f aca="true" t="shared" si="0" ref="F18:F24">D18</f>
        <v>343700.97</v>
      </c>
      <c r="G18" s="77">
        <f>D18-E18</f>
        <v>14721.25</v>
      </c>
      <c r="H18" s="168">
        <f>C18</f>
        <v>9.879999999999999</v>
      </c>
      <c r="N18" s="168"/>
      <c r="O18" s="168"/>
      <c r="P18" s="168"/>
    </row>
    <row r="19" spans="1:9" s="67" customFormat="1" ht="15">
      <c r="A19" s="81" t="s">
        <v>16</v>
      </c>
      <c r="B19" s="141" t="s">
        <v>17</v>
      </c>
      <c r="C19" s="99">
        <v>3.46</v>
      </c>
      <c r="D19" s="83">
        <f>D18*I19</f>
        <v>120364.9145951417</v>
      </c>
      <c r="E19" s="83">
        <f>E18*I19</f>
        <v>115209.49708502024</v>
      </c>
      <c r="F19" s="83">
        <f t="shared" si="0"/>
        <v>120364.9145951417</v>
      </c>
      <c r="G19" s="84">
        <f>D19-E19</f>
        <v>5155.417510121464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141" t="s">
        <v>19</v>
      </c>
      <c r="C20" s="99">
        <v>1.69</v>
      </c>
      <c r="D20" s="83">
        <f>D18*I20</f>
        <v>58790.95539473684</v>
      </c>
      <c r="E20" s="83">
        <f>E18*I20</f>
        <v>56272.84684210526</v>
      </c>
      <c r="F20" s="83">
        <f t="shared" si="0"/>
        <v>58790.95539473684</v>
      </c>
      <c r="G20" s="84">
        <f>D20-E20</f>
        <v>2518.10855263158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141" t="s">
        <v>21</v>
      </c>
      <c r="C21" s="99">
        <v>1.69</v>
      </c>
      <c r="D21" s="83">
        <f>D18*I21</f>
        <v>58790.95539473684</v>
      </c>
      <c r="E21" s="83">
        <f>E18*I21</f>
        <v>56272.84684210526</v>
      </c>
      <c r="F21" s="83">
        <f t="shared" si="0"/>
        <v>58790.95539473684</v>
      </c>
      <c r="G21" s="84">
        <f>D21-E21</f>
        <v>2518.10855263158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141" t="s">
        <v>23</v>
      </c>
      <c r="C22" s="99">
        <v>3.04</v>
      </c>
      <c r="D22" s="83">
        <f>D18*I22</f>
        <v>105754.14461538462</v>
      </c>
      <c r="E22" s="83">
        <f>E18*I22</f>
        <v>101224.52923076923</v>
      </c>
      <c r="F22" s="83">
        <f t="shared" si="0"/>
        <v>105754.14461538462</v>
      </c>
      <c r="G22" s="84">
        <f>D22-E22</f>
        <v>4529.61538461539</v>
      </c>
      <c r="H22" s="147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2" t="s">
        <v>28</v>
      </c>
      <c r="C23" s="143">
        <v>0</v>
      </c>
      <c r="D23" s="77">
        <v>0</v>
      </c>
      <c r="E23" s="77">
        <v>0</v>
      </c>
      <c r="F23" s="77">
        <f t="shared" si="0"/>
        <v>0</v>
      </c>
      <c r="G23" s="77">
        <f aca="true" t="shared" si="1" ref="G23:G31">D23-E23</f>
        <v>0</v>
      </c>
    </row>
    <row r="24" spans="1:7" s="39" customFormat="1" ht="14.25">
      <c r="A24" s="41" t="s">
        <v>27</v>
      </c>
      <c r="B24" s="142" t="s">
        <v>168</v>
      </c>
      <c r="C24" s="143" t="s">
        <v>395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s="39" customFormat="1" ht="14.25">
      <c r="A25" s="41" t="s">
        <v>29</v>
      </c>
      <c r="B25" s="142" t="s">
        <v>119</v>
      </c>
      <c r="C25" s="143">
        <v>1.86</v>
      </c>
      <c r="D25" s="77">
        <v>62084.8</v>
      </c>
      <c r="E25" s="77">
        <v>61878.77</v>
      </c>
      <c r="F25" s="87">
        <f>F43</f>
        <v>33832.4277</v>
      </c>
      <c r="G25" s="77">
        <f t="shared" si="1"/>
        <v>206.0300000000061</v>
      </c>
    </row>
    <row r="26" spans="1:7" s="39" customFormat="1" ht="14.25">
      <c r="A26" s="41" t="s">
        <v>205</v>
      </c>
      <c r="B26" s="136" t="s">
        <v>34</v>
      </c>
      <c r="C26" s="137">
        <v>0</v>
      </c>
      <c r="D26" s="77"/>
      <c r="E26" s="77">
        <v>101.52</v>
      </c>
      <c r="F26" s="87">
        <f aca="true" t="shared" si="2" ref="F26:F31">D26</f>
        <v>0</v>
      </c>
      <c r="G26" s="77">
        <f t="shared" si="1"/>
        <v>-101.52</v>
      </c>
    </row>
    <row r="27" spans="1:7" s="39" customFormat="1" ht="14.25">
      <c r="A27" s="41" t="s">
        <v>206</v>
      </c>
      <c r="B27" s="136" t="s">
        <v>36</v>
      </c>
      <c r="C27" s="137"/>
      <c r="D27" s="77">
        <f>SUM(D28:D31)</f>
        <v>1367921.3399999999</v>
      </c>
      <c r="E27" s="77">
        <f>SUM(E28:E31)</f>
        <v>1361191.7</v>
      </c>
      <c r="F27" s="77">
        <f>SUM(F28:F31)</f>
        <v>1367921.3399999999</v>
      </c>
      <c r="G27" s="77">
        <f t="shared" si="1"/>
        <v>6729.639999999898</v>
      </c>
    </row>
    <row r="28" spans="1:7" s="39" customFormat="1" ht="15">
      <c r="A28" s="34" t="s">
        <v>207</v>
      </c>
      <c r="B28" s="34" t="s">
        <v>172</v>
      </c>
      <c r="C28" s="293" t="s">
        <v>379</v>
      </c>
      <c r="D28" s="295">
        <v>29896.08</v>
      </c>
      <c r="E28" s="295">
        <v>29774.01</v>
      </c>
      <c r="F28" s="297">
        <f t="shared" si="2"/>
        <v>29896.08</v>
      </c>
      <c r="G28" s="84">
        <f t="shared" si="1"/>
        <v>122.07000000000335</v>
      </c>
    </row>
    <row r="29" spans="1:7" ht="15">
      <c r="A29" s="34" t="s">
        <v>208</v>
      </c>
      <c r="B29" s="34" t="s">
        <v>142</v>
      </c>
      <c r="C29" s="293" t="s">
        <v>382</v>
      </c>
      <c r="D29" s="295">
        <v>418177.31</v>
      </c>
      <c r="E29" s="295">
        <v>424463.59</v>
      </c>
      <c r="F29" s="297">
        <f t="shared" si="2"/>
        <v>418177.31</v>
      </c>
      <c r="G29" s="84">
        <f t="shared" si="1"/>
        <v>-6286.280000000028</v>
      </c>
    </row>
    <row r="30" spans="1:7" ht="15">
      <c r="A30" s="34" t="s">
        <v>209</v>
      </c>
      <c r="B30" s="34" t="s">
        <v>40</v>
      </c>
      <c r="C30" s="145">
        <v>0</v>
      </c>
      <c r="D30" s="295">
        <v>0</v>
      </c>
      <c r="E30" s="295">
        <v>0</v>
      </c>
      <c r="F30" s="297">
        <f t="shared" si="2"/>
        <v>0</v>
      </c>
      <c r="G30" s="84">
        <f t="shared" si="1"/>
        <v>0</v>
      </c>
    </row>
    <row r="31" spans="1:7" ht="15">
      <c r="A31" s="34" t="s">
        <v>210</v>
      </c>
      <c r="B31" s="34" t="s">
        <v>43</v>
      </c>
      <c r="C31" s="293" t="s">
        <v>380</v>
      </c>
      <c r="D31" s="295">
        <v>919847.95</v>
      </c>
      <c r="E31" s="295">
        <v>906954.1</v>
      </c>
      <c r="F31" s="297">
        <f t="shared" si="2"/>
        <v>919847.95</v>
      </c>
      <c r="G31" s="84">
        <f t="shared" si="1"/>
        <v>12893.849999999977</v>
      </c>
    </row>
    <row r="32" spans="1:10" s="102" customFormat="1" ht="6" customHeight="1">
      <c r="A32" s="104"/>
      <c r="B32" s="104"/>
      <c r="C32" s="104"/>
      <c r="D32" s="101"/>
      <c r="E32" s="101"/>
      <c r="F32" s="101"/>
      <c r="G32" s="101"/>
      <c r="H32" s="101"/>
      <c r="I32" s="101"/>
      <c r="J32" s="101"/>
    </row>
    <row r="33" spans="1:10" s="102" customFormat="1" ht="18.75" customHeight="1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65">
        <v>405293.73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G14+E26-F26</f>
        <v>21645.89</v>
      </c>
      <c r="H36" s="62"/>
      <c r="I36" s="62"/>
    </row>
    <row r="37" spans="1:13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G15+E25-F25</f>
        <v>-75469.66010000001</v>
      </c>
      <c r="H37" s="62"/>
      <c r="I37" s="62"/>
      <c r="M37" s="147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2:5" ht="9.75" customHeight="1">
      <c r="B39" s="156"/>
      <c r="C39" s="156"/>
      <c r="D39" s="156"/>
      <c r="E39" s="156"/>
    </row>
    <row r="40" spans="1:9" ht="26.25" customHeight="1">
      <c r="A40" s="367" t="s">
        <v>44</v>
      </c>
      <c r="B40" s="367"/>
      <c r="C40" s="367"/>
      <c r="D40" s="367"/>
      <c r="E40" s="367"/>
      <c r="F40" s="367"/>
      <c r="G40" s="367"/>
      <c r="H40" s="367"/>
      <c r="I40" s="367"/>
    </row>
    <row r="41" ht="7.5" customHeight="1"/>
    <row r="42" spans="1:7" s="173" customFormat="1" ht="28.5" customHeight="1">
      <c r="A42" s="105" t="s">
        <v>11</v>
      </c>
      <c r="B42" s="179" t="s">
        <v>45</v>
      </c>
      <c r="C42" s="180"/>
      <c r="D42" s="105" t="s">
        <v>170</v>
      </c>
      <c r="E42" s="105" t="s">
        <v>169</v>
      </c>
      <c r="F42" s="394" t="s">
        <v>46</v>
      </c>
      <c r="G42" s="404"/>
    </row>
    <row r="43" spans="1:7" s="115" customFormat="1" ht="13.5" customHeight="1">
      <c r="A43" s="109" t="s">
        <v>47</v>
      </c>
      <c r="B43" s="396" t="s">
        <v>114</v>
      </c>
      <c r="C43" s="399"/>
      <c r="D43" s="109"/>
      <c r="E43" s="109"/>
      <c r="F43" s="411">
        <f>SUM(F44:G49)</f>
        <v>33832.4277</v>
      </c>
      <c r="G43" s="404"/>
    </row>
    <row r="44" spans="1:7" ht="15">
      <c r="A44" s="34" t="s">
        <v>16</v>
      </c>
      <c r="B44" s="150" t="s">
        <v>513</v>
      </c>
      <c r="C44" s="151"/>
      <c r="D44" s="119" t="s">
        <v>171</v>
      </c>
      <c r="E44" s="119">
        <v>3</v>
      </c>
      <c r="F44" s="410">
        <v>6300</v>
      </c>
      <c r="G44" s="410"/>
    </row>
    <row r="45" spans="1:7" ht="17.25" customHeight="1">
      <c r="A45" s="34" t="s">
        <v>18</v>
      </c>
      <c r="B45" s="150" t="s">
        <v>514</v>
      </c>
      <c r="C45" s="151"/>
      <c r="D45" s="119" t="s">
        <v>240</v>
      </c>
      <c r="E45" s="119">
        <v>0.02</v>
      </c>
      <c r="F45" s="410">
        <v>4527.35</v>
      </c>
      <c r="G45" s="410"/>
    </row>
    <row r="46" spans="1:7" ht="15">
      <c r="A46" s="34" t="s">
        <v>20</v>
      </c>
      <c r="B46" s="150" t="s">
        <v>515</v>
      </c>
      <c r="C46" s="151"/>
      <c r="D46" s="119" t="s">
        <v>240</v>
      </c>
      <c r="E46" s="119">
        <v>0.14</v>
      </c>
      <c r="F46" s="410">
        <v>14506.82</v>
      </c>
      <c r="G46" s="410"/>
    </row>
    <row r="47" spans="1:7" ht="15">
      <c r="A47" s="34" t="s">
        <v>22</v>
      </c>
      <c r="B47" s="150" t="s">
        <v>604</v>
      </c>
      <c r="C47" s="151"/>
      <c r="D47" s="119" t="s">
        <v>240</v>
      </c>
      <c r="E47" s="122">
        <v>0.15</v>
      </c>
      <c r="F47" s="410">
        <v>5789.47</v>
      </c>
      <c r="G47" s="410"/>
    </row>
    <row r="48" spans="1:7" ht="15">
      <c r="A48" s="34" t="s">
        <v>24</v>
      </c>
      <c r="B48" s="150" t="s">
        <v>799</v>
      </c>
      <c r="C48" s="151"/>
      <c r="D48" s="119"/>
      <c r="E48" s="122"/>
      <c r="F48" s="410">
        <v>2090</v>
      </c>
      <c r="G48" s="410"/>
    </row>
    <row r="49" spans="1:7" ht="15">
      <c r="A49" s="34" t="s">
        <v>106</v>
      </c>
      <c r="B49" s="150" t="s">
        <v>198</v>
      </c>
      <c r="C49" s="151"/>
      <c r="D49" s="181"/>
      <c r="E49" s="181"/>
      <c r="F49" s="410">
        <f>E25*1%</f>
        <v>618.7877</v>
      </c>
      <c r="G49" s="410"/>
    </row>
    <row r="50" spans="1:7" ht="12.75" customHeight="1">
      <c r="A50" s="170"/>
      <c r="B50" s="182"/>
      <c r="C50" s="182"/>
      <c r="D50" s="182"/>
      <c r="E50" s="182"/>
      <c r="F50" s="183"/>
      <c r="G50" s="183"/>
    </row>
    <row r="51" spans="1:7" ht="12.75" customHeight="1">
      <c r="A51" s="170"/>
      <c r="B51" s="182"/>
      <c r="C51" s="182"/>
      <c r="D51" s="182"/>
      <c r="E51" s="182"/>
      <c r="F51" s="183"/>
      <c r="G51" s="183"/>
    </row>
    <row r="52" s="67" customFormat="1" ht="6.75" customHeight="1"/>
    <row r="53" spans="1:6" s="67" customFormat="1" ht="15">
      <c r="A53" s="67" t="s">
        <v>55</v>
      </c>
      <c r="C53" s="67" t="s">
        <v>49</v>
      </c>
      <c r="F53" s="67" t="s">
        <v>93</v>
      </c>
    </row>
    <row r="54" s="67" customFormat="1" ht="9" customHeight="1"/>
    <row r="55" s="67" customFormat="1" ht="13.5" customHeight="1">
      <c r="F55" s="128" t="s">
        <v>516</v>
      </c>
    </row>
    <row r="56" s="67" customFormat="1" ht="13.5" customHeight="1">
      <c r="A56" s="67" t="s">
        <v>50</v>
      </c>
    </row>
    <row r="57" spans="3:7" s="67" customFormat="1" ht="15">
      <c r="C57" s="130" t="s">
        <v>51</v>
      </c>
      <c r="E57" s="130"/>
      <c r="F57" s="130"/>
      <c r="G57" s="130"/>
    </row>
    <row r="58" s="67" customFormat="1" ht="15"/>
    <row r="59" s="67" customFormat="1" ht="15"/>
  </sheetData>
  <sheetProtection/>
  <mergeCells count="19">
    <mergeCell ref="F42:G42"/>
    <mergeCell ref="A33:F33"/>
    <mergeCell ref="F49:G49"/>
    <mergeCell ref="F43:G43"/>
    <mergeCell ref="B43:C43"/>
    <mergeCell ref="F45:G45"/>
    <mergeCell ref="F46:G46"/>
    <mergeCell ref="F48:G48"/>
    <mergeCell ref="F47:G47"/>
    <mergeCell ref="F44:G44"/>
    <mergeCell ref="A40:I40"/>
    <mergeCell ref="A11:I11"/>
    <mergeCell ref="A34:C34"/>
    <mergeCell ref="A1:I1"/>
    <mergeCell ref="A2:I2"/>
    <mergeCell ref="A5:I5"/>
    <mergeCell ref="A10:I10"/>
    <mergeCell ref="A3:K3"/>
    <mergeCell ref="A12:I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7030A0"/>
  </sheetPr>
  <dimension ref="A1:M59"/>
  <sheetViews>
    <sheetView zoomScalePageLayoutView="0" workbookViewId="0" topLeftCell="A26">
      <selection activeCell="G36" sqref="G36"/>
    </sheetView>
  </sheetViews>
  <sheetFormatPr defaultColWidth="9.140625" defaultRowHeight="15" outlineLevelCol="1"/>
  <cols>
    <col min="1" max="1" width="5.00390625" style="35" customWidth="1"/>
    <col min="2" max="2" width="41.7109375" style="35" customWidth="1"/>
    <col min="3" max="3" width="12.851562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35" bestFit="1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15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7" spans="1:6" s="67" customFormat="1" ht="15">
      <c r="A7" s="67" t="s">
        <v>2</v>
      </c>
      <c r="F7" s="128" t="s">
        <v>134</v>
      </c>
    </row>
    <row r="8" spans="1:11" s="67" customFormat="1" ht="15">
      <c r="A8" s="67" t="s">
        <v>3</v>
      </c>
      <c r="F8" s="299" t="s">
        <v>499</v>
      </c>
      <c r="I8" s="204">
        <v>0</v>
      </c>
      <c r="J8" s="204">
        <v>3899.4</v>
      </c>
      <c r="K8" s="204">
        <f>I8+J8</f>
        <v>3899.4</v>
      </c>
    </row>
    <row r="9" s="67" customFormat="1" ht="15">
      <c r="I9" s="204">
        <v>51.8</v>
      </c>
    </row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10.5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65">
        <f>'[1]Пролетарская 135'!$G$36</f>
        <v>-105022.04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65">
        <f>'[1]Пролетарская 135'!$G$37</f>
        <v>-118936.53330000001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9" s="67" customFormat="1" ht="29.25">
      <c r="A18" s="75" t="s">
        <v>14</v>
      </c>
      <c r="B18" s="41" t="s">
        <v>15</v>
      </c>
      <c r="C18" s="220">
        <f>C19+C20+C21+C22</f>
        <v>10.34</v>
      </c>
      <c r="D18" s="76">
        <v>507741.39</v>
      </c>
      <c r="E18" s="76">
        <v>469148.58</v>
      </c>
      <c r="F18" s="76">
        <f aca="true" t="shared" si="0" ref="F18:F25">D18</f>
        <v>507741.39</v>
      </c>
      <c r="G18" s="77">
        <f>D18-E18</f>
        <v>38592.81</v>
      </c>
      <c r="H18" s="78">
        <f>C18</f>
        <v>10.34</v>
      </c>
      <c r="I18" s="169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169901.85777562865</v>
      </c>
      <c r="E19" s="83">
        <f>E18*I19</f>
        <v>156987.82270793038</v>
      </c>
      <c r="F19" s="83">
        <f t="shared" si="0"/>
        <v>169901.85777562865</v>
      </c>
      <c r="G19" s="84">
        <f>D19-E19</f>
        <v>12914.035067698278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82986.74556092842</v>
      </c>
      <c r="E20" s="83">
        <f>E18*I20</f>
        <v>76679.02323017408</v>
      </c>
      <c r="F20" s="83">
        <f t="shared" si="0"/>
        <v>82986.74556092842</v>
      </c>
      <c r="G20" s="84">
        <f>D20-E20</f>
        <v>6307.722330754346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105574.85382011606</v>
      </c>
      <c r="E21" s="83">
        <f>E18*I21</f>
        <v>97550.23665377176</v>
      </c>
      <c r="F21" s="83">
        <f t="shared" si="0"/>
        <v>105574.85382011606</v>
      </c>
      <c r="G21" s="84">
        <f>D21-E21</f>
        <v>8024.617166344295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149277.93284332688</v>
      </c>
      <c r="E22" s="83">
        <f>E18*I22</f>
        <v>137931.4974081238</v>
      </c>
      <c r="F22" s="83">
        <f t="shared" si="0"/>
        <v>149277.93284332688</v>
      </c>
      <c r="G22" s="84">
        <f>D22-E22</f>
        <v>11346.435435203079</v>
      </c>
      <c r="H22" s="78">
        <f>C22</f>
        <v>3.04</v>
      </c>
      <c r="I22" s="67">
        <f>H22/H18</f>
        <v>0.2940038684719536</v>
      </c>
    </row>
    <row r="23" spans="1:9" ht="15">
      <c r="A23" s="41" t="s">
        <v>25</v>
      </c>
      <c r="B23" s="41" t="s">
        <v>26</v>
      </c>
      <c r="C23" s="143">
        <v>3.86</v>
      </c>
      <c r="D23" s="77">
        <v>178185.18</v>
      </c>
      <c r="E23" s="77">
        <v>174863.22</v>
      </c>
      <c r="F23" s="76">
        <f t="shared" si="0"/>
        <v>178185.18</v>
      </c>
      <c r="G23" s="77">
        <f aca="true" t="shared" si="1" ref="G23:G32">D23-E23</f>
        <v>3321.959999999992</v>
      </c>
      <c r="H23" s="39"/>
      <c r="I23" s="39"/>
    </row>
    <row r="24" spans="1:9" ht="15">
      <c r="A24" s="41" t="s">
        <v>27</v>
      </c>
      <c r="B24" s="41" t="s">
        <v>311</v>
      </c>
      <c r="C24" s="143">
        <v>0</v>
      </c>
      <c r="D24" s="77">
        <v>0</v>
      </c>
      <c r="E24" s="77">
        <v>404.21</v>
      </c>
      <c r="F24" s="77">
        <f t="shared" si="0"/>
        <v>0</v>
      </c>
      <c r="G24" s="77">
        <f t="shared" si="1"/>
        <v>-404.21</v>
      </c>
      <c r="H24" s="39"/>
      <c r="I24" s="39"/>
    </row>
    <row r="25" spans="1:9" ht="15">
      <c r="A25" s="41" t="s">
        <v>29</v>
      </c>
      <c r="B25" s="41" t="s">
        <v>178</v>
      </c>
      <c r="C25" s="143">
        <v>1.12</v>
      </c>
      <c r="D25" s="77">
        <v>51784.44</v>
      </c>
      <c r="E25" s="77">
        <v>50818.75</v>
      </c>
      <c r="F25" s="77">
        <f t="shared" si="0"/>
        <v>51784.44</v>
      </c>
      <c r="G25" s="77">
        <f t="shared" si="1"/>
        <v>965.6900000000023</v>
      </c>
      <c r="H25" s="39"/>
      <c r="I25" s="39"/>
    </row>
    <row r="26" spans="1:13" ht="15">
      <c r="A26" s="41" t="s">
        <v>31</v>
      </c>
      <c r="B26" s="41" t="s">
        <v>119</v>
      </c>
      <c r="C26" s="143">
        <v>2.06</v>
      </c>
      <c r="D26" s="77">
        <v>95301.8</v>
      </c>
      <c r="E26" s="77">
        <v>93525.32</v>
      </c>
      <c r="F26" s="87">
        <f>F44</f>
        <v>151408.71320000003</v>
      </c>
      <c r="G26" s="77">
        <f t="shared" si="1"/>
        <v>1776.479999999996</v>
      </c>
      <c r="H26" s="39"/>
      <c r="I26" s="39"/>
      <c r="M26" s="161"/>
    </row>
    <row r="27" spans="1:9" ht="15">
      <c r="A27" s="217">
        <v>6</v>
      </c>
      <c r="B27" s="86" t="s">
        <v>168</v>
      </c>
      <c r="C27" s="144" t="s">
        <v>395</v>
      </c>
      <c r="D27" s="77">
        <v>0</v>
      </c>
      <c r="E27" s="77">
        <v>0</v>
      </c>
      <c r="F27" s="87">
        <f>D27</f>
        <v>0</v>
      </c>
      <c r="G27" s="77">
        <f t="shared" si="1"/>
        <v>0</v>
      </c>
      <c r="H27" s="39"/>
      <c r="I27" s="39"/>
    </row>
    <row r="28" spans="1:9" ht="15">
      <c r="A28" s="217">
        <f>A27+1</f>
        <v>7</v>
      </c>
      <c r="B28" s="41" t="s">
        <v>36</v>
      </c>
      <c r="C28" s="144"/>
      <c r="D28" s="77">
        <f>SUM(D29:D32)</f>
        <v>2079861.25</v>
      </c>
      <c r="E28" s="77">
        <f>SUM(E29:E32)</f>
        <v>1993457.56</v>
      </c>
      <c r="F28" s="77">
        <f>SUM(F29:F32)</f>
        <v>2079861.25</v>
      </c>
      <c r="G28" s="77">
        <f t="shared" si="1"/>
        <v>86403.68999999994</v>
      </c>
      <c r="H28" s="39"/>
      <c r="I28" s="39"/>
    </row>
    <row r="29" spans="1:7" ht="15">
      <c r="A29" s="218" t="s">
        <v>37</v>
      </c>
      <c r="B29" s="34" t="s">
        <v>96</v>
      </c>
      <c r="C29" s="293" t="s">
        <v>379</v>
      </c>
      <c r="D29" s="84">
        <v>90772.73</v>
      </c>
      <c r="E29" s="84">
        <v>80661.87</v>
      </c>
      <c r="F29" s="84">
        <f>D29</f>
        <v>90772.73</v>
      </c>
      <c r="G29" s="84">
        <f t="shared" si="1"/>
        <v>10110.86</v>
      </c>
    </row>
    <row r="30" spans="1:7" ht="15">
      <c r="A30" s="218" t="s">
        <v>39</v>
      </c>
      <c r="B30" s="34" t="s">
        <v>142</v>
      </c>
      <c r="C30" s="293" t="s">
        <v>382</v>
      </c>
      <c r="D30" s="84">
        <v>297537.24</v>
      </c>
      <c r="E30" s="84">
        <v>282336.34</v>
      </c>
      <c r="F30" s="84">
        <f>D30</f>
        <v>297537.24</v>
      </c>
      <c r="G30" s="84">
        <f t="shared" si="1"/>
        <v>15200.899999999965</v>
      </c>
    </row>
    <row r="31" spans="1:7" ht="15">
      <c r="A31" s="218" t="s">
        <v>42</v>
      </c>
      <c r="B31" s="34" t="s">
        <v>143</v>
      </c>
      <c r="C31" s="294" t="s">
        <v>381</v>
      </c>
      <c r="D31" s="84">
        <v>443908.41</v>
      </c>
      <c r="E31" s="84">
        <v>405783.7</v>
      </c>
      <c r="F31" s="84">
        <f>D31</f>
        <v>443908.41</v>
      </c>
      <c r="G31" s="84">
        <f t="shared" si="1"/>
        <v>38124.70999999996</v>
      </c>
    </row>
    <row r="32" spans="1:7" ht="15">
      <c r="A32" s="218" t="s">
        <v>41</v>
      </c>
      <c r="B32" s="34" t="s">
        <v>43</v>
      </c>
      <c r="C32" s="293" t="s">
        <v>380</v>
      </c>
      <c r="D32" s="84">
        <v>1247642.87</v>
      </c>
      <c r="E32" s="84">
        <v>1224675.65</v>
      </c>
      <c r="F32" s="84">
        <f>D32</f>
        <v>1247642.87</v>
      </c>
      <c r="G32" s="84">
        <f t="shared" si="1"/>
        <v>22967.220000000205</v>
      </c>
    </row>
    <row r="33" spans="1:7" ht="15.75" thickBot="1">
      <c r="A33" s="363" t="s">
        <v>378</v>
      </c>
      <c r="B33" s="364"/>
      <c r="C33" s="364"/>
      <c r="D33" s="365"/>
      <c r="E33" s="365"/>
      <c r="F33" s="365"/>
      <c r="G33" s="172"/>
    </row>
    <row r="34" spans="1:10" s="102" customFormat="1" ht="14.25" thickBot="1">
      <c r="A34" s="378" t="s">
        <v>383</v>
      </c>
      <c r="B34" s="379"/>
      <c r="C34" s="379"/>
      <c r="D34" s="65">
        <v>1306444.61</v>
      </c>
      <c r="E34" s="66"/>
      <c r="F34" s="66"/>
      <c r="G34" s="66"/>
      <c r="H34" s="62"/>
      <c r="I34" s="62"/>
      <c r="J34" s="101"/>
    </row>
    <row r="35" spans="1:9" s="67" customFormat="1" ht="10.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</f>
        <v>-105022.04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-176819.92650000003</v>
      </c>
      <c r="H37" s="62"/>
      <c r="I37" s="62"/>
    </row>
    <row r="38" spans="1:9" s="67" customFormat="1" ht="15">
      <c r="A38" s="427" t="s">
        <v>489</v>
      </c>
      <c r="B38" s="428"/>
      <c r="C38" s="331"/>
      <c r="D38" s="331"/>
      <c r="E38" s="332"/>
      <c r="F38" s="332"/>
      <c r="G38" s="332"/>
      <c r="H38" s="62"/>
      <c r="I38" s="62"/>
    </row>
    <row r="39" spans="1:9" s="67" customFormat="1" ht="15">
      <c r="A39" s="429" t="s">
        <v>150</v>
      </c>
      <c r="B39" s="430"/>
      <c r="C39" s="322" t="s">
        <v>151</v>
      </c>
      <c r="D39" s="322" t="s">
        <v>152</v>
      </c>
      <c r="E39" s="323" t="s">
        <v>153</v>
      </c>
      <c r="F39" s="324" t="s">
        <v>154</v>
      </c>
      <c r="G39" s="323" t="s">
        <v>155</v>
      </c>
      <c r="H39" s="62"/>
      <c r="I39" s="62"/>
    </row>
    <row r="40" spans="1:9" s="67" customFormat="1" ht="15">
      <c r="A40" s="431"/>
      <c r="B40" s="432"/>
      <c r="C40" s="302">
        <f>63.9+63.9</f>
        <v>127.8</v>
      </c>
      <c r="D40" s="325">
        <f>E40/C40/12</f>
        <v>7.398017736045905</v>
      </c>
      <c r="E40" s="327">
        <f>5533.76+5811.84</f>
        <v>11345.6</v>
      </c>
      <c r="F40" s="327">
        <f>5533.76+19607.08</f>
        <v>25140.840000000004</v>
      </c>
      <c r="G40" s="325">
        <f>E40-F40</f>
        <v>-13795.240000000003</v>
      </c>
      <c r="H40" s="62"/>
      <c r="I40" s="307">
        <f>63.9+63.9</f>
        <v>127.8</v>
      </c>
    </row>
    <row r="41" spans="1:9" s="67" customFormat="1" ht="30" customHeight="1">
      <c r="A41" s="433" t="s">
        <v>44</v>
      </c>
      <c r="B41" s="433"/>
      <c r="C41" s="433"/>
      <c r="D41" s="433"/>
      <c r="E41" s="433"/>
      <c r="F41" s="433"/>
      <c r="G41" s="433"/>
      <c r="H41" s="433"/>
      <c r="I41" s="433"/>
    </row>
    <row r="42" ht="10.5" customHeight="1"/>
    <row r="43" spans="1:9" ht="28.5">
      <c r="A43" s="105" t="s">
        <v>11</v>
      </c>
      <c r="B43" s="394" t="s">
        <v>45</v>
      </c>
      <c r="C43" s="405"/>
      <c r="D43" s="105" t="s">
        <v>170</v>
      </c>
      <c r="E43" s="105" t="s">
        <v>169</v>
      </c>
      <c r="F43" s="394" t="s">
        <v>46</v>
      </c>
      <c r="G43" s="405"/>
      <c r="H43" s="173"/>
      <c r="I43" s="173"/>
    </row>
    <row r="44" spans="1:9" s="173" customFormat="1" ht="15">
      <c r="A44" s="109" t="s">
        <v>47</v>
      </c>
      <c r="B44" s="396" t="s">
        <v>114</v>
      </c>
      <c r="C44" s="399"/>
      <c r="D44" s="111"/>
      <c r="E44" s="111"/>
      <c r="F44" s="411">
        <f>SUM(F45:L53)</f>
        <v>151408.71320000003</v>
      </c>
      <c r="G44" s="404"/>
      <c r="H44" s="115"/>
      <c r="I44" s="115"/>
    </row>
    <row r="45" spans="1:9" s="115" customFormat="1" ht="15" customHeight="1">
      <c r="A45" s="34" t="s">
        <v>16</v>
      </c>
      <c r="B45" s="369" t="s">
        <v>167</v>
      </c>
      <c r="C45" s="371"/>
      <c r="D45" s="119" t="s">
        <v>174</v>
      </c>
      <c r="E45" s="119">
        <v>800</v>
      </c>
      <c r="F45" s="420">
        <v>7752</v>
      </c>
      <c r="G45" s="421"/>
      <c r="H45" s="35"/>
      <c r="I45" s="35"/>
    </row>
    <row r="46" spans="1:7" ht="15" customHeight="1">
      <c r="A46" s="34" t="s">
        <v>18</v>
      </c>
      <c r="B46" s="369" t="s">
        <v>593</v>
      </c>
      <c r="C46" s="371"/>
      <c r="D46" s="119" t="s">
        <v>240</v>
      </c>
      <c r="E46" s="119">
        <v>0.03</v>
      </c>
      <c r="F46" s="410">
        <v>2025.19</v>
      </c>
      <c r="G46" s="410"/>
    </row>
    <row r="47" spans="1:7" ht="15" customHeight="1">
      <c r="A47" s="34" t="s">
        <v>20</v>
      </c>
      <c r="B47" s="369" t="s">
        <v>167</v>
      </c>
      <c r="C47" s="371"/>
      <c r="D47" s="119" t="s">
        <v>174</v>
      </c>
      <c r="E47" s="119">
        <v>1600</v>
      </c>
      <c r="F47" s="410">
        <v>15504</v>
      </c>
      <c r="G47" s="410"/>
    </row>
    <row r="48" spans="1:7" ht="15" customHeight="1">
      <c r="A48" s="34" t="s">
        <v>22</v>
      </c>
      <c r="B48" s="369" t="s">
        <v>594</v>
      </c>
      <c r="C48" s="371"/>
      <c r="D48" s="119" t="s">
        <v>173</v>
      </c>
      <c r="E48" s="122">
        <v>4000</v>
      </c>
      <c r="F48" s="410">
        <v>12326.4</v>
      </c>
      <c r="G48" s="410"/>
    </row>
    <row r="49" spans="1:7" ht="15" customHeight="1">
      <c r="A49" s="34" t="s">
        <v>24</v>
      </c>
      <c r="B49" s="369" t="s">
        <v>595</v>
      </c>
      <c r="C49" s="371"/>
      <c r="D49" s="119" t="s">
        <v>240</v>
      </c>
      <c r="E49" s="119">
        <v>0.14</v>
      </c>
      <c r="F49" s="410">
        <v>28529.12</v>
      </c>
      <c r="G49" s="410"/>
    </row>
    <row r="50" spans="1:7" ht="15" customHeight="1">
      <c r="A50" s="34" t="s">
        <v>106</v>
      </c>
      <c r="B50" s="369" t="s">
        <v>793</v>
      </c>
      <c r="C50" s="371"/>
      <c r="D50" s="119"/>
      <c r="E50" s="122"/>
      <c r="F50" s="410">
        <v>24000</v>
      </c>
      <c r="G50" s="410"/>
    </row>
    <row r="51" spans="1:7" ht="15" customHeight="1">
      <c r="A51" s="34" t="s">
        <v>107</v>
      </c>
      <c r="B51" s="369" t="s">
        <v>804</v>
      </c>
      <c r="C51" s="371"/>
      <c r="D51" s="119"/>
      <c r="E51" s="122"/>
      <c r="F51" s="410">
        <v>42000</v>
      </c>
      <c r="G51" s="410"/>
    </row>
    <row r="52" spans="1:7" ht="13.5" customHeight="1">
      <c r="A52" s="34" t="s">
        <v>120</v>
      </c>
      <c r="B52" s="369" t="s">
        <v>805</v>
      </c>
      <c r="C52" s="415"/>
      <c r="D52" s="119"/>
      <c r="E52" s="154"/>
      <c r="F52" s="398">
        <v>18336.75</v>
      </c>
      <c r="G52" s="398"/>
    </row>
    <row r="53" spans="1:7" s="67" customFormat="1" ht="15">
      <c r="A53" s="34" t="s">
        <v>121</v>
      </c>
      <c r="B53" s="150" t="s">
        <v>198</v>
      </c>
      <c r="C53" s="151"/>
      <c r="D53" s="119"/>
      <c r="E53" s="119"/>
      <c r="F53" s="410">
        <f>E26*1%</f>
        <v>935.2532000000001</v>
      </c>
      <c r="G53" s="410"/>
    </row>
    <row r="54" spans="8:9" s="67" customFormat="1" ht="15">
      <c r="H54" s="35"/>
      <c r="I54" s="35"/>
    </row>
    <row r="55" spans="1:9" s="67" customFormat="1" ht="15">
      <c r="A55" s="67" t="s">
        <v>55</v>
      </c>
      <c r="C55" s="67" t="s">
        <v>49</v>
      </c>
      <c r="F55" s="67" t="s">
        <v>93</v>
      </c>
      <c r="H55" s="35"/>
      <c r="I55" s="35"/>
    </row>
    <row r="56" spans="6:9" s="67" customFormat="1" ht="15">
      <c r="F56" s="128" t="s">
        <v>516</v>
      </c>
      <c r="H56" s="35"/>
      <c r="I56" s="35"/>
    </row>
    <row r="57" spans="1:7" ht="15">
      <c r="A57" s="67" t="s">
        <v>50</v>
      </c>
      <c r="B57" s="67"/>
      <c r="C57" s="67"/>
      <c r="D57" s="67"/>
      <c r="E57" s="67"/>
      <c r="F57" s="67"/>
      <c r="G57" s="67"/>
    </row>
    <row r="58" spans="1:7" ht="15">
      <c r="A58" s="67"/>
      <c r="B58" s="67"/>
      <c r="C58" s="130" t="s">
        <v>51</v>
      </c>
      <c r="D58" s="67"/>
      <c r="E58" s="130"/>
      <c r="F58" s="130"/>
      <c r="G58" s="130"/>
    </row>
    <row r="59" spans="1:9" ht="15">
      <c r="A59" s="67"/>
      <c r="B59" s="67"/>
      <c r="C59" s="67"/>
      <c r="D59" s="67"/>
      <c r="E59" s="67"/>
      <c r="F59" s="67"/>
      <c r="G59" s="67"/>
      <c r="H59" s="67"/>
      <c r="I59" s="67"/>
    </row>
  </sheetData>
  <sheetProtection/>
  <mergeCells count="33">
    <mergeCell ref="F47:G47"/>
    <mergeCell ref="B50:C50"/>
    <mergeCell ref="F50:G50"/>
    <mergeCell ref="B48:C48"/>
    <mergeCell ref="B46:C46"/>
    <mergeCell ref="F48:G48"/>
    <mergeCell ref="F53:G53"/>
    <mergeCell ref="F46:G46"/>
    <mergeCell ref="F44:G44"/>
    <mergeCell ref="B47:C47"/>
    <mergeCell ref="B43:C43"/>
    <mergeCell ref="B49:C49"/>
    <mergeCell ref="F49:G49"/>
    <mergeCell ref="F43:G43"/>
    <mergeCell ref="B52:C52"/>
    <mergeCell ref="F52:G52"/>
    <mergeCell ref="A39:B40"/>
    <mergeCell ref="A12:I12"/>
    <mergeCell ref="B45:C45"/>
    <mergeCell ref="F45:G45"/>
    <mergeCell ref="B44:C44"/>
    <mergeCell ref="A34:C34"/>
    <mergeCell ref="A41:I41"/>
    <mergeCell ref="F51:G51"/>
    <mergeCell ref="B51:C51"/>
    <mergeCell ref="A1:I1"/>
    <mergeCell ref="A2:I2"/>
    <mergeCell ref="A3:K3"/>
    <mergeCell ref="A5:I5"/>
    <mergeCell ref="A10:I10"/>
    <mergeCell ref="A33:F33"/>
    <mergeCell ref="A11:I11"/>
    <mergeCell ref="A38:B3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7030A0"/>
  </sheetPr>
  <dimension ref="A1:S65"/>
  <sheetViews>
    <sheetView zoomScalePageLayoutView="0" workbookViewId="0" topLeftCell="A30">
      <selection activeCell="G38" sqref="G38"/>
    </sheetView>
  </sheetViews>
  <sheetFormatPr defaultColWidth="9.140625" defaultRowHeight="15" outlineLevelCol="2"/>
  <cols>
    <col min="1" max="1" width="5.00390625" style="35" customWidth="1"/>
    <col min="2" max="2" width="46.140625" style="35" customWidth="1"/>
    <col min="3" max="3" width="13.421875" style="35" customWidth="1"/>
    <col min="4" max="4" width="15.140625" style="35" customWidth="1"/>
    <col min="5" max="5" width="14.57421875" style="35" customWidth="1"/>
    <col min="6" max="6" width="15.00390625" style="35" customWidth="1"/>
    <col min="7" max="8" width="13.421875" style="35" customWidth="1"/>
    <col min="9" max="9" width="13.421875" style="35" hidden="1" customWidth="1" outlineLevel="1"/>
    <col min="10" max="10" width="10.8515625" style="35" hidden="1" customWidth="1" outlineLevel="2"/>
    <col min="11" max="11" width="13.421875" style="35" hidden="1" customWidth="1" outlineLevel="2"/>
    <col min="12" max="12" width="14.28125" style="35" bestFit="1" customWidth="1" collapsed="1"/>
    <col min="13" max="13" width="12.00390625" style="35" customWidth="1"/>
    <col min="14" max="14" width="10.140625" style="35" bestFit="1" customWidth="1"/>
    <col min="15" max="15" width="11.421875" style="35" bestFit="1" customWidth="1"/>
    <col min="16" max="17" width="11.57421875" style="35" bestFit="1" customWidth="1"/>
    <col min="18" max="18" width="10.421875" style="35" bestFit="1" customWidth="1"/>
    <col min="19" max="19" width="11.421875" style="35" bestFit="1" customWidth="1"/>
    <col min="20" max="16384" width="9.140625" style="35" customWidth="1"/>
  </cols>
  <sheetData>
    <row r="1" spans="1:11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15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5">
      <c r="A5" s="389" t="s">
        <v>1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</row>
    <row r="7" spans="1:10" s="67" customFormat="1" ht="15">
      <c r="A7" s="67" t="s">
        <v>2</v>
      </c>
      <c r="F7" s="128" t="s">
        <v>137</v>
      </c>
      <c r="J7" s="67" t="s">
        <v>347</v>
      </c>
    </row>
    <row r="8" spans="1:11" s="67" customFormat="1" ht="15">
      <c r="A8" s="67" t="s">
        <v>3</v>
      </c>
      <c r="F8" s="299" t="s">
        <v>500</v>
      </c>
      <c r="I8" s="204">
        <v>7246.9</v>
      </c>
      <c r="J8" s="204">
        <v>110.9</v>
      </c>
      <c r="K8" s="204">
        <f>I8+J8</f>
        <v>7357.799999999999</v>
      </c>
    </row>
    <row r="9" s="67" customFormat="1" ht="15"/>
    <row r="10" spans="1:11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11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</row>
    <row r="13" spans="1:11" s="67" customFormat="1" ht="10.5" customHeight="1" thickBot="1">
      <c r="A13" s="68"/>
      <c r="B13" s="68"/>
      <c r="C13" s="68"/>
      <c r="D13" s="40"/>
      <c r="E13" s="66"/>
      <c r="F13" s="66"/>
      <c r="G13" s="66"/>
      <c r="H13" s="66"/>
      <c r="I13" s="66"/>
      <c r="J13" s="62"/>
      <c r="K13" s="62"/>
    </row>
    <row r="14" spans="1:11" s="67" customFormat="1" ht="15.75" thickBot="1">
      <c r="A14" s="63" t="s">
        <v>313</v>
      </c>
      <c r="B14" s="64"/>
      <c r="C14" s="64"/>
      <c r="D14" s="69"/>
      <c r="E14" s="70"/>
      <c r="F14" s="70"/>
      <c r="G14" s="65">
        <f>'[1]Молодежная 41'!$G$39</f>
        <v>466725.0314999999</v>
      </c>
      <c r="H14" s="223"/>
      <c r="I14" s="223"/>
      <c r="J14" s="62"/>
      <c r="K14" s="62"/>
    </row>
    <row r="15" s="67" customFormat="1" ht="15"/>
    <row r="16" spans="1:9" s="74" customFormat="1" ht="38.25">
      <c r="A16" s="72" t="s">
        <v>11</v>
      </c>
      <c r="B16" s="72" t="s">
        <v>12</v>
      </c>
      <c r="C16" s="72" t="s">
        <v>94</v>
      </c>
      <c r="D16" s="72" t="s">
        <v>374</v>
      </c>
      <c r="E16" s="72" t="s">
        <v>375</v>
      </c>
      <c r="F16" s="73" t="s">
        <v>376</v>
      </c>
      <c r="G16" s="72" t="s">
        <v>377</v>
      </c>
      <c r="H16" s="108"/>
      <c r="I16" s="108"/>
    </row>
    <row r="17" spans="1:10" s="169" customFormat="1" ht="28.5">
      <c r="A17" s="75" t="s">
        <v>14</v>
      </c>
      <c r="B17" s="41" t="s">
        <v>15</v>
      </c>
      <c r="C17" s="97">
        <f>SUM(C18:C21)</f>
        <v>10.18</v>
      </c>
      <c r="D17" s="76">
        <v>901707.26</v>
      </c>
      <c r="E17" s="76">
        <v>862979.04</v>
      </c>
      <c r="F17" s="76">
        <f>D17</f>
        <v>901707.26</v>
      </c>
      <c r="G17" s="77">
        <f>D17-E17</f>
        <v>38728.21999999997</v>
      </c>
      <c r="H17" s="224"/>
      <c r="I17" s="224"/>
      <c r="J17" s="78">
        <f>C17</f>
        <v>10.18</v>
      </c>
    </row>
    <row r="18" spans="1:11" s="67" customFormat="1" ht="15">
      <c r="A18" s="81" t="s">
        <v>16</v>
      </c>
      <c r="B18" s="34" t="s">
        <v>17</v>
      </c>
      <c r="C18" s="99">
        <v>3.46</v>
      </c>
      <c r="D18" s="83">
        <f>D17*K18</f>
        <v>306474.17677799606</v>
      </c>
      <c r="E18" s="83">
        <f>E17*K18</f>
        <v>293311.1471905698</v>
      </c>
      <c r="F18" s="83">
        <f aca="true" t="shared" si="0" ref="F18:F23">D18</f>
        <v>306474.17677799606</v>
      </c>
      <c r="G18" s="84">
        <f>D18-E18</f>
        <v>13163.029587426281</v>
      </c>
      <c r="H18" s="172"/>
      <c r="I18" s="172"/>
      <c r="J18" s="78">
        <f>C18</f>
        <v>3.46</v>
      </c>
      <c r="K18" s="67">
        <f>J18/J17</f>
        <v>0.33988212180746563</v>
      </c>
    </row>
    <row r="19" spans="1:11" s="67" customFormat="1" ht="15">
      <c r="A19" s="81" t="s">
        <v>18</v>
      </c>
      <c r="B19" s="34" t="s">
        <v>19</v>
      </c>
      <c r="C19" s="99">
        <v>1.69</v>
      </c>
      <c r="D19" s="83">
        <f>D17*K19</f>
        <v>149694.0343222004</v>
      </c>
      <c r="E19" s="83">
        <f>E17*K19</f>
        <v>143264.69328094303</v>
      </c>
      <c r="F19" s="83">
        <f t="shared" si="0"/>
        <v>149694.0343222004</v>
      </c>
      <c r="G19" s="84">
        <f>D19-E19</f>
        <v>6429.341041257372</v>
      </c>
      <c r="H19" s="172"/>
      <c r="I19" s="172"/>
      <c r="J19" s="78">
        <f>C19</f>
        <v>1.69</v>
      </c>
      <c r="K19" s="67">
        <f>J19/J17</f>
        <v>0.16601178781925344</v>
      </c>
    </row>
    <row r="20" spans="1:11" s="67" customFormat="1" ht="15">
      <c r="A20" s="81" t="s">
        <v>20</v>
      </c>
      <c r="B20" s="34" t="s">
        <v>21</v>
      </c>
      <c r="C20" s="99">
        <v>1.99</v>
      </c>
      <c r="D20" s="83">
        <f>D17*K20</f>
        <v>176266.9398231827</v>
      </c>
      <c r="E20" s="83">
        <f>E17*K20</f>
        <v>168696.29563850688</v>
      </c>
      <c r="F20" s="83">
        <f t="shared" si="0"/>
        <v>176266.9398231827</v>
      </c>
      <c r="G20" s="84">
        <f>D20-E20</f>
        <v>7570.644184675824</v>
      </c>
      <c r="H20" s="172"/>
      <c r="I20" s="172"/>
      <c r="J20" s="78">
        <f>C20</f>
        <v>1.99</v>
      </c>
      <c r="K20" s="67">
        <f>J20/J17</f>
        <v>0.19548133595284872</v>
      </c>
    </row>
    <row r="21" spans="1:11" s="67" customFormat="1" ht="15">
      <c r="A21" s="81" t="s">
        <v>22</v>
      </c>
      <c r="B21" s="34" t="s">
        <v>23</v>
      </c>
      <c r="C21" s="99">
        <v>3.04</v>
      </c>
      <c r="D21" s="83">
        <f>D17*K21</f>
        <v>269272.10907662084</v>
      </c>
      <c r="E21" s="83">
        <f>E17*K21</f>
        <v>257706.90388998037</v>
      </c>
      <c r="F21" s="83">
        <f t="shared" si="0"/>
        <v>269272.10907662084</v>
      </c>
      <c r="G21" s="84">
        <f>D21-E21</f>
        <v>11565.205186640465</v>
      </c>
      <c r="H21" s="172"/>
      <c r="I21" s="172"/>
      <c r="J21" s="78">
        <f>C21</f>
        <v>3.04</v>
      </c>
      <c r="K21" s="67">
        <f>J21/J17</f>
        <v>0.29862475442043224</v>
      </c>
    </row>
    <row r="22" spans="1:12" s="39" customFormat="1" ht="14.25">
      <c r="A22" s="41" t="s">
        <v>25</v>
      </c>
      <c r="B22" s="41" t="s">
        <v>26</v>
      </c>
      <c r="C22" s="97">
        <v>3.86</v>
      </c>
      <c r="D22" s="77">
        <v>334482.76</v>
      </c>
      <c r="E22" s="77">
        <v>339358.83</v>
      </c>
      <c r="F22" s="76">
        <f t="shared" si="0"/>
        <v>334482.76</v>
      </c>
      <c r="G22" s="77">
        <f aca="true" t="shared" si="1" ref="G22:G34">D22-E22</f>
        <v>-4876.070000000007</v>
      </c>
      <c r="H22" s="224"/>
      <c r="I22" s="224"/>
      <c r="L22" s="184"/>
    </row>
    <row r="23" spans="1:9" s="39" customFormat="1" ht="14.25">
      <c r="A23" s="41" t="s">
        <v>27</v>
      </c>
      <c r="B23" s="41" t="s">
        <v>28</v>
      </c>
      <c r="C23" s="97">
        <v>0</v>
      </c>
      <c r="D23" s="77">
        <v>0</v>
      </c>
      <c r="E23" s="77"/>
      <c r="F23" s="77">
        <f t="shared" si="0"/>
        <v>0</v>
      </c>
      <c r="G23" s="77">
        <f t="shared" si="1"/>
        <v>0</v>
      </c>
      <c r="H23" s="224"/>
      <c r="I23" s="224"/>
    </row>
    <row r="24" spans="1:9" s="39" customFormat="1" ht="28.5">
      <c r="A24" s="41" t="s">
        <v>29</v>
      </c>
      <c r="B24" s="41" t="s">
        <v>245</v>
      </c>
      <c r="C24" s="46">
        <v>120</v>
      </c>
      <c r="D24" s="77">
        <v>165600</v>
      </c>
      <c r="E24" s="77">
        <v>170081.06</v>
      </c>
      <c r="F24" s="77">
        <f>D24</f>
        <v>165600</v>
      </c>
      <c r="G24" s="77">
        <f t="shared" si="1"/>
        <v>-4481.059999999998</v>
      </c>
      <c r="H24" s="224"/>
      <c r="I24" s="224"/>
    </row>
    <row r="25" spans="1:12" s="39" customFormat="1" ht="14.25">
      <c r="A25" s="41" t="s">
        <v>31</v>
      </c>
      <c r="B25" s="41" t="s">
        <v>119</v>
      </c>
      <c r="C25" s="97">
        <v>2.06</v>
      </c>
      <c r="D25" s="77">
        <v>982230.52</v>
      </c>
      <c r="E25" s="77">
        <v>946948.26</v>
      </c>
      <c r="F25" s="87">
        <f>F46-F32</f>
        <v>464322.94259999995</v>
      </c>
      <c r="G25" s="77">
        <f t="shared" si="1"/>
        <v>35282.26000000001</v>
      </c>
      <c r="H25" s="224"/>
      <c r="I25" s="224">
        <f>F25+F32</f>
        <v>535448.7226</v>
      </c>
      <c r="L25" s="184"/>
    </row>
    <row r="26" spans="1:9" s="39" customFormat="1" ht="14.25">
      <c r="A26" s="41" t="s">
        <v>33</v>
      </c>
      <c r="B26" s="41" t="s">
        <v>168</v>
      </c>
      <c r="C26" s="46" t="s">
        <v>395</v>
      </c>
      <c r="D26" s="90">
        <v>0</v>
      </c>
      <c r="E26" s="90">
        <v>0</v>
      </c>
      <c r="F26" s="90">
        <v>0</v>
      </c>
      <c r="G26" s="77">
        <f t="shared" si="1"/>
        <v>0</v>
      </c>
      <c r="H26" s="224"/>
      <c r="I26" s="225"/>
    </row>
    <row r="27" spans="1:12" s="39" customFormat="1" ht="14.25">
      <c r="A27" s="41" t="s">
        <v>35</v>
      </c>
      <c r="B27" s="41" t="s">
        <v>36</v>
      </c>
      <c r="C27" s="46"/>
      <c r="D27" s="77">
        <f>D28+D29+D30+D31</f>
        <v>4516783.87</v>
      </c>
      <c r="E27" s="77">
        <f>E28+E29+E30+E31</f>
        <v>4840805.98</v>
      </c>
      <c r="F27" s="77">
        <f>F28+F29+F30+F31</f>
        <v>4516783.87</v>
      </c>
      <c r="G27" s="77">
        <f t="shared" si="1"/>
        <v>-324022.11000000034</v>
      </c>
      <c r="H27" s="224"/>
      <c r="I27" s="224"/>
      <c r="L27" s="184"/>
    </row>
    <row r="28" spans="1:19" ht="15">
      <c r="A28" s="34" t="s">
        <v>37</v>
      </c>
      <c r="B28" s="34" t="s">
        <v>296</v>
      </c>
      <c r="C28" s="301" t="s">
        <v>413</v>
      </c>
      <c r="D28" s="84">
        <v>1110477.64</v>
      </c>
      <c r="E28" s="84">
        <v>1277912.01</v>
      </c>
      <c r="F28" s="84">
        <f>D28</f>
        <v>1110477.64</v>
      </c>
      <c r="G28" s="84">
        <f>D28-E28</f>
        <v>-167434.3700000001</v>
      </c>
      <c r="H28" s="172"/>
      <c r="I28" s="172"/>
      <c r="R28" s="226"/>
      <c r="S28" s="226"/>
    </row>
    <row r="29" spans="1:14" ht="15">
      <c r="A29" s="34" t="s">
        <v>39</v>
      </c>
      <c r="B29" s="34" t="s">
        <v>142</v>
      </c>
      <c r="C29" s="293" t="s">
        <v>382</v>
      </c>
      <c r="D29" s="84">
        <v>463111.09</v>
      </c>
      <c r="E29" s="216">
        <v>493202.71</v>
      </c>
      <c r="F29" s="216">
        <f>D29</f>
        <v>463111.09</v>
      </c>
      <c r="G29" s="84">
        <f t="shared" si="1"/>
        <v>-30091.619999999995</v>
      </c>
      <c r="H29" s="172"/>
      <c r="I29" s="172"/>
      <c r="L29" s="161"/>
      <c r="M29" s="161"/>
      <c r="N29" s="161"/>
    </row>
    <row r="30" spans="1:14" ht="15">
      <c r="A30" s="34" t="s">
        <v>42</v>
      </c>
      <c r="B30" s="34" t="s">
        <v>297</v>
      </c>
      <c r="C30" s="294" t="s">
        <v>426</v>
      </c>
      <c r="D30" s="84">
        <v>644531.5</v>
      </c>
      <c r="E30" s="216">
        <v>727903.13</v>
      </c>
      <c r="F30" s="216">
        <f>D30</f>
        <v>644531.5</v>
      </c>
      <c r="G30" s="84">
        <f t="shared" si="1"/>
        <v>-83371.63</v>
      </c>
      <c r="H30" s="172"/>
      <c r="I30" s="172"/>
      <c r="L30" s="161"/>
      <c r="M30" s="161"/>
      <c r="N30" s="161"/>
    </row>
    <row r="31" spans="1:12" ht="15">
      <c r="A31" s="34" t="s">
        <v>41</v>
      </c>
      <c r="B31" s="34" t="s">
        <v>43</v>
      </c>
      <c r="C31" s="293" t="s">
        <v>427</v>
      </c>
      <c r="D31" s="84">
        <v>2298663.64</v>
      </c>
      <c r="E31" s="84">
        <v>2341788.13</v>
      </c>
      <c r="F31" s="84">
        <f>D31</f>
        <v>2298663.64</v>
      </c>
      <c r="G31" s="84">
        <f t="shared" si="1"/>
        <v>-43124.48999999976</v>
      </c>
      <c r="H31" s="172"/>
      <c r="I31" s="172"/>
      <c r="L31" s="161"/>
    </row>
    <row r="32" spans="1:11" s="102" customFormat="1" ht="15">
      <c r="A32" s="238" t="s">
        <v>211</v>
      </c>
      <c r="B32" s="344" t="s">
        <v>346</v>
      </c>
      <c r="C32" s="349"/>
      <c r="D32" s="350">
        <f>3000+2400+3600+3600</f>
        <v>12600</v>
      </c>
      <c r="E32" s="350">
        <f>3000+2390+3600+2700</f>
        <v>11690</v>
      </c>
      <c r="F32" s="350">
        <f>F57+F58</f>
        <v>71125.78</v>
      </c>
      <c r="G32" s="321">
        <f t="shared" si="1"/>
        <v>910</v>
      </c>
      <c r="H32" s="224"/>
      <c r="I32" s="172"/>
      <c r="J32" s="101"/>
      <c r="K32" s="101"/>
    </row>
    <row r="33" spans="1:11" s="102" customFormat="1" ht="26.25">
      <c r="A33" s="318" t="s">
        <v>348</v>
      </c>
      <c r="B33" s="318" t="s">
        <v>485</v>
      </c>
      <c r="C33" s="302" t="s">
        <v>486</v>
      </c>
      <c r="D33" s="319">
        <f>3064.77+6156.43+23640.81</f>
        <v>32862.01</v>
      </c>
      <c r="E33" s="320">
        <f>3555.09+6138.8+23505.39+3849.85+1924.93+135.42</f>
        <v>39109.479999999996</v>
      </c>
      <c r="F33" s="319">
        <v>0</v>
      </c>
      <c r="G33" s="321">
        <f t="shared" si="1"/>
        <v>-6247.469999999994</v>
      </c>
      <c r="H33" s="320"/>
      <c r="I33" s="172">
        <v>10451.27</v>
      </c>
      <c r="J33" s="337">
        <v>9787.98</v>
      </c>
      <c r="K33" s="337">
        <v>6316.99</v>
      </c>
    </row>
    <row r="34" spans="1:11" s="102" customFormat="1" ht="15">
      <c r="A34" s="291"/>
      <c r="B34" s="136"/>
      <c r="C34" s="292"/>
      <c r="D34" s="228"/>
      <c r="E34" s="81"/>
      <c r="F34" s="228">
        <v>0</v>
      </c>
      <c r="G34" s="84">
        <f t="shared" si="1"/>
        <v>0</v>
      </c>
      <c r="H34" s="172"/>
      <c r="I34" s="172"/>
      <c r="J34" s="101"/>
      <c r="K34" s="101"/>
    </row>
    <row r="35" spans="1:11" s="102" customFormat="1" ht="15.75" thickBot="1">
      <c r="A35" s="363" t="s">
        <v>378</v>
      </c>
      <c r="B35" s="364"/>
      <c r="C35" s="364"/>
      <c r="D35" s="365"/>
      <c r="E35" s="365"/>
      <c r="F35" s="365"/>
      <c r="G35" s="101"/>
      <c r="H35" s="101"/>
      <c r="I35" s="101"/>
      <c r="J35" s="101"/>
      <c r="K35" s="101"/>
    </row>
    <row r="36" spans="1:11" s="67" customFormat="1" ht="15.75" thickBot="1">
      <c r="A36" s="378" t="s">
        <v>383</v>
      </c>
      <c r="B36" s="379"/>
      <c r="C36" s="379"/>
      <c r="D36" s="65">
        <v>1358222.8</v>
      </c>
      <c r="E36" s="66"/>
      <c r="F36" s="66"/>
      <c r="G36" s="66"/>
      <c r="H36" s="66"/>
      <c r="I36" s="66"/>
      <c r="J36" s="62"/>
      <c r="K36" s="62"/>
    </row>
    <row r="37" spans="1:11" s="67" customFormat="1" ht="6.75" customHeight="1" thickBot="1">
      <c r="A37" s="68"/>
      <c r="B37" s="68"/>
      <c r="C37" s="68"/>
      <c r="D37" s="40"/>
      <c r="E37" s="66"/>
      <c r="F37" s="66"/>
      <c r="G37" s="66"/>
      <c r="H37" s="66"/>
      <c r="I37" s="66"/>
      <c r="J37" s="62"/>
      <c r="K37" s="62"/>
    </row>
    <row r="38" spans="1:11" s="67" customFormat="1" ht="15.75" thickBot="1">
      <c r="A38" s="63" t="s">
        <v>428</v>
      </c>
      <c r="B38" s="64"/>
      <c r="C38" s="64"/>
      <c r="D38" s="69"/>
      <c r="E38" s="70"/>
      <c r="F38" s="70"/>
      <c r="G38" s="146">
        <f>G14+E25-F25+E33-F33+E34</f>
        <v>988459.8288999998</v>
      </c>
      <c r="H38" s="40"/>
      <c r="I38" s="40"/>
      <c r="J38" s="62"/>
      <c r="K38" s="62"/>
    </row>
    <row r="39" spans="1:11" s="67" customFormat="1" ht="15">
      <c r="A39" s="486" t="s">
        <v>149</v>
      </c>
      <c r="B39" s="486"/>
      <c r="C39" s="68"/>
      <c r="D39" s="40"/>
      <c r="E39" s="66"/>
      <c r="F39" s="66"/>
      <c r="G39" s="40"/>
      <c r="H39" s="40"/>
      <c r="I39" s="40"/>
      <c r="J39" s="62"/>
      <c r="K39" s="62"/>
    </row>
    <row r="40" spans="1:11" s="67" customFormat="1" ht="15">
      <c r="A40" s="429" t="s">
        <v>487</v>
      </c>
      <c r="B40" s="430"/>
      <c r="C40" s="322" t="s">
        <v>151</v>
      </c>
      <c r="D40" s="322" t="s">
        <v>152</v>
      </c>
      <c r="E40" s="323" t="s">
        <v>153</v>
      </c>
      <c r="F40" s="324" t="s">
        <v>154</v>
      </c>
      <c r="G40" s="323" t="s">
        <v>155</v>
      </c>
      <c r="H40" s="335"/>
      <c r="I40" s="54"/>
      <c r="J40" s="62"/>
      <c r="K40" s="62"/>
    </row>
    <row r="41" spans="1:11" s="67" customFormat="1" ht="15">
      <c r="A41" s="431"/>
      <c r="B41" s="432"/>
      <c r="C41" s="302">
        <f>967.3+251.9+125.4</f>
        <v>1344.6000000000001</v>
      </c>
      <c r="D41" s="325">
        <f>E41/12/C41</f>
        <v>17.678817740096186</v>
      </c>
      <c r="E41" s="320">
        <f>48092.76+23941.36+107923.02+105294.12</f>
        <v>285251.26</v>
      </c>
      <c r="F41" s="326">
        <f>47949.19+27764.8+107923.02+105294.12+30044.34</f>
        <v>318975.47000000003</v>
      </c>
      <c r="G41" s="325">
        <f>E41-F41</f>
        <v>-33724.21000000002</v>
      </c>
      <c r="H41" s="336"/>
      <c r="I41" s="229"/>
      <c r="J41" s="334">
        <f>967.3+251.9+125.4</f>
        <v>1344.6000000000001</v>
      </c>
      <c r="K41" s="200"/>
    </row>
    <row r="42" spans="1:11" s="67" customFormat="1" ht="15">
      <c r="A42" s="55"/>
      <c r="B42" s="55"/>
      <c r="C42" s="230"/>
      <c r="D42" s="231"/>
      <c r="E42" s="232"/>
      <c r="F42" s="232"/>
      <c r="G42" s="231"/>
      <c r="H42" s="229"/>
      <c r="I42" s="229"/>
      <c r="J42" s="200"/>
      <c r="K42" s="200"/>
    </row>
    <row r="43" spans="1:11" ht="35.25" customHeight="1">
      <c r="A43" s="433" t="s">
        <v>44</v>
      </c>
      <c r="B43" s="487"/>
      <c r="C43" s="487"/>
      <c r="D43" s="487"/>
      <c r="E43" s="487"/>
      <c r="F43" s="487"/>
      <c r="G43" s="487"/>
      <c r="H43" s="328"/>
      <c r="I43" s="233"/>
      <c r="J43" s="201"/>
      <c r="K43" s="201"/>
    </row>
    <row r="45" spans="1:9" s="173" customFormat="1" ht="28.5">
      <c r="A45" s="105" t="s">
        <v>11</v>
      </c>
      <c r="B45" s="394" t="s">
        <v>45</v>
      </c>
      <c r="C45" s="395"/>
      <c r="D45" s="105" t="s">
        <v>170</v>
      </c>
      <c r="E45" s="105" t="s">
        <v>169</v>
      </c>
      <c r="F45" s="394" t="s">
        <v>46</v>
      </c>
      <c r="G45" s="404"/>
      <c r="H45" s="234"/>
      <c r="I45" s="234"/>
    </row>
    <row r="46" spans="1:9" s="115" customFormat="1" ht="15">
      <c r="A46" s="109" t="s">
        <v>47</v>
      </c>
      <c r="B46" s="396" t="s">
        <v>114</v>
      </c>
      <c r="C46" s="397"/>
      <c r="D46" s="174"/>
      <c r="E46" s="174"/>
      <c r="F46" s="411">
        <f>SUM(F47:G59)</f>
        <v>535448.7226</v>
      </c>
      <c r="G46" s="404"/>
      <c r="H46" s="234"/>
      <c r="I46" s="234"/>
    </row>
    <row r="47" spans="1:9" ht="15">
      <c r="A47" s="34" t="s">
        <v>16</v>
      </c>
      <c r="B47" s="369" t="s">
        <v>695</v>
      </c>
      <c r="C47" s="370"/>
      <c r="D47" s="153" t="s">
        <v>248</v>
      </c>
      <c r="E47" s="153">
        <v>1</v>
      </c>
      <c r="F47" s="410">
        <v>8607.95</v>
      </c>
      <c r="G47" s="410"/>
      <c r="H47" s="183"/>
      <c r="I47" s="183"/>
    </row>
    <row r="48" spans="1:9" ht="15">
      <c r="A48" s="34" t="s">
        <v>18</v>
      </c>
      <c r="B48" s="369" t="s">
        <v>596</v>
      </c>
      <c r="C48" s="370"/>
      <c r="D48" s="153" t="s">
        <v>248</v>
      </c>
      <c r="E48" s="153">
        <v>3</v>
      </c>
      <c r="F48" s="410">
        <v>45000</v>
      </c>
      <c r="G48" s="410"/>
      <c r="H48" s="183"/>
      <c r="I48" s="183"/>
    </row>
    <row r="49" spans="1:9" ht="15" customHeight="1">
      <c r="A49" s="34" t="s">
        <v>20</v>
      </c>
      <c r="B49" s="369" t="s">
        <v>597</v>
      </c>
      <c r="C49" s="370"/>
      <c r="D49" s="153" t="s">
        <v>598</v>
      </c>
      <c r="E49" s="153">
        <v>1</v>
      </c>
      <c r="F49" s="420">
        <v>380380</v>
      </c>
      <c r="G49" s="421"/>
      <c r="H49" s="183"/>
      <c r="I49" s="183"/>
    </row>
    <row r="50" spans="1:9" ht="29.25" customHeight="1">
      <c r="A50" s="34" t="s">
        <v>22</v>
      </c>
      <c r="B50" s="369" t="s">
        <v>599</v>
      </c>
      <c r="C50" s="370"/>
      <c r="D50" s="153" t="s">
        <v>248</v>
      </c>
      <c r="E50" s="153">
        <v>7</v>
      </c>
      <c r="F50" s="410">
        <v>7700</v>
      </c>
      <c r="G50" s="410"/>
      <c r="H50" s="183"/>
      <c r="I50" s="183"/>
    </row>
    <row r="51" spans="1:9" ht="18" customHeight="1">
      <c r="A51" s="34" t="s">
        <v>24</v>
      </c>
      <c r="B51" s="491" t="s">
        <v>762</v>
      </c>
      <c r="C51" s="492"/>
      <c r="D51" s="153" t="s">
        <v>248</v>
      </c>
      <c r="E51" s="153">
        <v>1</v>
      </c>
      <c r="F51" s="495">
        <v>700</v>
      </c>
      <c r="G51" s="495"/>
      <c r="H51" s="183"/>
      <c r="I51" s="183"/>
    </row>
    <row r="52" spans="1:9" ht="18" customHeight="1">
      <c r="A52" s="34" t="s">
        <v>106</v>
      </c>
      <c r="B52" s="491" t="s">
        <v>782</v>
      </c>
      <c r="C52" s="492"/>
      <c r="D52" s="153" t="s">
        <v>248</v>
      </c>
      <c r="E52" s="153">
        <v>2</v>
      </c>
      <c r="F52" s="495">
        <v>1940</v>
      </c>
      <c r="G52" s="495"/>
      <c r="H52" s="183"/>
      <c r="I52" s="183"/>
    </row>
    <row r="53" spans="1:9" ht="15">
      <c r="A53" s="34" t="s">
        <v>107</v>
      </c>
      <c r="B53" s="369" t="s">
        <v>600</v>
      </c>
      <c r="C53" s="370"/>
      <c r="D53" s="153" t="s">
        <v>171</v>
      </c>
      <c r="E53" s="153">
        <v>2</v>
      </c>
      <c r="F53" s="410">
        <v>4686</v>
      </c>
      <c r="G53" s="410"/>
      <c r="H53" s="183"/>
      <c r="I53" s="183"/>
    </row>
    <row r="54" spans="1:9" ht="15">
      <c r="A54" s="34" t="s">
        <v>120</v>
      </c>
      <c r="B54" s="369" t="s">
        <v>694</v>
      </c>
      <c r="C54" s="370"/>
      <c r="D54" s="153" t="s">
        <v>171</v>
      </c>
      <c r="E54" s="153">
        <v>1</v>
      </c>
      <c r="F54" s="410">
        <v>4810.2</v>
      </c>
      <c r="G54" s="410"/>
      <c r="H54" s="183"/>
      <c r="I54" s="183"/>
    </row>
    <row r="55" spans="1:9" ht="15">
      <c r="A55" s="34" t="s">
        <v>121</v>
      </c>
      <c r="B55" s="491" t="s">
        <v>602</v>
      </c>
      <c r="C55" s="492"/>
      <c r="D55" s="153" t="s">
        <v>505</v>
      </c>
      <c r="E55" s="153">
        <v>0.01</v>
      </c>
      <c r="F55" s="493">
        <v>1029.31</v>
      </c>
      <c r="G55" s="494"/>
      <c r="H55" s="183"/>
      <c r="I55" s="183"/>
    </row>
    <row r="56" spans="1:9" ht="29.25" customHeight="1">
      <c r="A56" s="34"/>
      <c r="B56" s="489" t="s">
        <v>603</v>
      </c>
      <c r="C56" s="490"/>
      <c r="D56" s="153"/>
      <c r="E56" s="153"/>
      <c r="F56" s="410"/>
      <c r="G56" s="410"/>
      <c r="H56" s="183"/>
      <c r="I56" s="183"/>
    </row>
    <row r="57" spans="1:9" ht="30" customHeight="1">
      <c r="A57" s="34" t="s">
        <v>120</v>
      </c>
      <c r="B57" s="369" t="s">
        <v>601</v>
      </c>
      <c r="C57" s="370"/>
      <c r="D57" s="153" t="s">
        <v>249</v>
      </c>
      <c r="E57" s="153"/>
      <c r="F57" s="410">
        <v>15260</v>
      </c>
      <c r="G57" s="410"/>
      <c r="H57" s="183"/>
      <c r="I57" s="183"/>
    </row>
    <row r="58" spans="1:9" ht="15" customHeight="1">
      <c r="A58" s="34" t="s">
        <v>121</v>
      </c>
      <c r="B58" s="369" t="s">
        <v>736</v>
      </c>
      <c r="C58" s="370"/>
      <c r="D58" s="153"/>
      <c r="E58" s="153"/>
      <c r="F58" s="420">
        <v>55865.78</v>
      </c>
      <c r="G58" s="421"/>
      <c r="H58" s="183"/>
      <c r="I58" s="183"/>
    </row>
    <row r="59" spans="1:9" ht="15" customHeight="1">
      <c r="A59" s="34" t="s">
        <v>122</v>
      </c>
      <c r="B59" s="408" t="s">
        <v>198</v>
      </c>
      <c r="C59" s="488"/>
      <c r="D59" s="193"/>
      <c r="E59" s="193"/>
      <c r="F59" s="410">
        <f>E25*1%</f>
        <v>9469.482600000001</v>
      </c>
      <c r="G59" s="410"/>
      <c r="H59" s="183"/>
      <c r="I59" s="183"/>
    </row>
    <row r="60" spans="1:9" ht="15">
      <c r="A60" s="170"/>
      <c r="B60" s="93"/>
      <c r="C60" s="93"/>
      <c r="D60" s="93"/>
      <c r="E60" s="93"/>
      <c r="F60" s="183"/>
      <c r="G60" s="183"/>
      <c r="H60" s="183"/>
      <c r="I60" s="183"/>
    </row>
    <row r="61" s="67" customFormat="1" ht="15"/>
    <row r="62" spans="1:6" s="67" customFormat="1" ht="15">
      <c r="A62" s="67" t="s">
        <v>55</v>
      </c>
      <c r="C62" s="67" t="s">
        <v>49</v>
      </c>
      <c r="F62" s="67" t="s">
        <v>93</v>
      </c>
    </row>
    <row r="63" s="67" customFormat="1" ht="15">
      <c r="F63" s="128" t="s">
        <v>516</v>
      </c>
    </row>
    <row r="64" s="67" customFormat="1" ht="15">
      <c r="A64" s="67" t="s">
        <v>50</v>
      </c>
    </row>
    <row r="65" spans="3:9" s="67" customFormat="1" ht="15">
      <c r="C65" s="130" t="s">
        <v>51</v>
      </c>
      <c r="E65" s="130"/>
      <c r="F65" s="130"/>
      <c r="G65" s="130"/>
      <c r="H65" s="130"/>
      <c r="I65" s="130"/>
    </row>
  </sheetData>
  <sheetProtection/>
  <mergeCells count="42">
    <mergeCell ref="B51:C51"/>
    <mergeCell ref="B52:C52"/>
    <mergeCell ref="F51:G51"/>
    <mergeCell ref="F52:G52"/>
    <mergeCell ref="B50:C50"/>
    <mergeCell ref="F53:G53"/>
    <mergeCell ref="F50:G50"/>
    <mergeCell ref="F54:G54"/>
    <mergeCell ref="F56:G56"/>
    <mergeCell ref="B57:C57"/>
    <mergeCell ref="B56:C56"/>
    <mergeCell ref="B53:C53"/>
    <mergeCell ref="B54:C54"/>
    <mergeCell ref="B55:C55"/>
    <mergeCell ref="F55:G55"/>
    <mergeCell ref="F59:G59"/>
    <mergeCell ref="B58:C58"/>
    <mergeCell ref="F57:G57"/>
    <mergeCell ref="F58:G58"/>
    <mergeCell ref="B59:C59"/>
    <mergeCell ref="A12:K12"/>
    <mergeCell ref="A35:F35"/>
    <mergeCell ref="F47:G47"/>
    <mergeCell ref="F48:G48"/>
    <mergeCell ref="F49:G49"/>
    <mergeCell ref="B49:C49"/>
    <mergeCell ref="A11:K11"/>
    <mergeCell ref="A1:K1"/>
    <mergeCell ref="A2:K2"/>
    <mergeCell ref="A3:K3"/>
    <mergeCell ref="A5:K5"/>
    <mergeCell ref="A10:K10"/>
    <mergeCell ref="B46:C46"/>
    <mergeCell ref="A36:C36"/>
    <mergeCell ref="F46:G46"/>
    <mergeCell ref="B48:C48"/>
    <mergeCell ref="F45:G45"/>
    <mergeCell ref="B45:C45"/>
    <mergeCell ref="A39:B39"/>
    <mergeCell ref="A40:B41"/>
    <mergeCell ref="A43:G43"/>
    <mergeCell ref="B47:C47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landscape" paperSize="9" scale="95" r:id="rId1"/>
  <colBreaks count="1" manualBreakCount="1">
    <brk id="9" max="52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7030A0"/>
  </sheetPr>
  <dimension ref="A1:Q75"/>
  <sheetViews>
    <sheetView zoomScalePageLayoutView="0" workbookViewId="0" topLeftCell="A45">
      <selection activeCell="G37" sqref="G37"/>
    </sheetView>
  </sheetViews>
  <sheetFormatPr defaultColWidth="9.140625" defaultRowHeight="15" outlineLevelCol="1"/>
  <cols>
    <col min="1" max="1" width="6.140625" style="35" customWidth="1"/>
    <col min="2" max="2" width="46.00390625" style="35" customWidth="1"/>
    <col min="3" max="3" width="13.57421875" style="35" customWidth="1"/>
    <col min="4" max="5" width="12.7109375" style="35" customWidth="1"/>
    <col min="6" max="6" width="15.00390625" style="35" customWidth="1"/>
    <col min="7" max="7" width="14.421875" style="35" customWidth="1"/>
    <col min="8" max="8" width="10.8515625" style="35" hidden="1" customWidth="1" outlineLevel="1"/>
    <col min="9" max="9" width="8.7109375" style="35" hidden="1" customWidth="1" outlineLevel="1"/>
    <col min="10" max="10" width="6.8515625" style="35" hidden="1" customWidth="1" outlineLevel="1"/>
    <col min="11" max="11" width="7.7109375" style="35" hidden="1" customWidth="1" outlineLevel="1"/>
    <col min="12" max="12" width="8.57421875" style="35" hidden="1" customWidth="1" outlineLevel="1"/>
    <col min="13" max="13" width="11.8515625" style="2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159"/>
      <c r="I1" s="159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04"/>
      <c r="I2" s="304"/>
    </row>
    <row r="3" spans="1:11" ht="15">
      <c r="A3" s="366" t="s">
        <v>384</v>
      </c>
      <c r="B3" s="366"/>
      <c r="C3" s="366"/>
      <c r="D3" s="366"/>
      <c r="E3" s="366"/>
      <c r="F3" s="366"/>
      <c r="G3" s="366"/>
      <c r="H3" s="305"/>
      <c r="I3" s="305"/>
      <c r="J3" s="305"/>
      <c r="K3" s="305"/>
    </row>
    <row r="4" spans="1:9" ht="15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">
      <c r="A5" s="389" t="s">
        <v>1</v>
      </c>
      <c r="B5" s="388"/>
      <c r="C5" s="388"/>
      <c r="D5" s="388"/>
      <c r="E5" s="388"/>
      <c r="F5" s="388"/>
      <c r="G5" s="388"/>
      <c r="H5" s="304"/>
      <c r="I5" s="304"/>
    </row>
    <row r="7" spans="1:6" s="67" customFormat="1" ht="15">
      <c r="A7" s="67" t="s">
        <v>2</v>
      </c>
      <c r="F7" s="128" t="s">
        <v>138</v>
      </c>
    </row>
    <row r="8" spans="1:9" s="67" customFormat="1" ht="15">
      <c r="A8" s="67" t="s">
        <v>3</v>
      </c>
      <c r="F8" s="299" t="s">
        <v>429</v>
      </c>
      <c r="H8" s="169">
        <f>98.9+95.1+88.2+105.9+151.9+137.3+99+97.9+101.8+104.6</f>
        <v>1080.6</v>
      </c>
      <c r="I8" s="214">
        <f>10449.9+6187.3</f>
        <v>16637.2</v>
      </c>
    </row>
    <row r="9" spans="8:9" s="67" customFormat="1" ht="15">
      <c r="H9" s="67">
        <f>188+49.45+106.9+49.45+35.9</f>
        <v>429.7</v>
      </c>
      <c r="I9" s="303">
        <f>I8-H8</f>
        <v>15556.6</v>
      </c>
    </row>
    <row r="10" spans="1:13" s="67" customFormat="1" ht="15">
      <c r="A10" s="368" t="s">
        <v>8</v>
      </c>
      <c r="B10" s="368"/>
      <c r="C10" s="368"/>
      <c r="D10" s="368"/>
      <c r="E10" s="368"/>
      <c r="F10" s="368"/>
      <c r="G10" s="368"/>
      <c r="H10" s="62"/>
      <c r="I10" s="62"/>
      <c r="M10" s="214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62"/>
      <c r="I11" s="62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62"/>
      <c r="I12" s="62"/>
    </row>
    <row r="13" spans="1:9" s="67" customFormat="1" ht="15.75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313</v>
      </c>
      <c r="B14" s="64"/>
      <c r="C14" s="64"/>
      <c r="D14" s="69"/>
      <c r="E14" s="70"/>
      <c r="F14" s="70"/>
      <c r="G14" s="146">
        <f>'[1]Солнечный б-р 2 общий'!$G$38</f>
        <v>226400.64300000016</v>
      </c>
      <c r="H14" s="62"/>
      <c r="I14" s="62"/>
    </row>
    <row r="15" s="67" customFormat="1" ht="15"/>
    <row r="16" spans="1:7" s="74" customFormat="1" ht="38.25">
      <c r="A16" s="72" t="s">
        <v>11</v>
      </c>
      <c r="B16" s="72" t="s">
        <v>12</v>
      </c>
      <c r="C16" s="72" t="s">
        <v>94</v>
      </c>
      <c r="D16" s="72" t="s">
        <v>374</v>
      </c>
      <c r="E16" s="72" t="s">
        <v>375</v>
      </c>
      <c r="F16" s="73" t="s">
        <v>376</v>
      </c>
      <c r="G16" s="72" t="s">
        <v>377</v>
      </c>
    </row>
    <row r="17" spans="1:9" s="169" customFormat="1" ht="28.5">
      <c r="A17" s="75" t="s">
        <v>14</v>
      </c>
      <c r="B17" s="41" t="s">
        <v>15</v>
      </c>
      <c r="C17" s="97">
        <f>C18+C19+C20+C21+C22</f>
        <v>13.74</v>
      </c>
      <c r="D17" s="76">
        <f>1648453.09+900477.46</f>
        <v>2548930.55</v>
      </c>
      <c r="E17" s="76">
        <f>1622660.64+862562.08</f>
        <v>2485222.7199999997</v>
      </c>
      <c r="F17" s="76">
        <f aca="true" t="shared" si="0" ref="F17:F25">D17</f>
        <v>2548930.55</v>
      </c>
      <c r="G17" s="77">
        <f aca="true" t="shared" si="1" ref="G17:G22">D17-E17</f>
        <v>63707.830000000075</v>
      </c>
      <c r="H17" s="138">
        <f aca="true" t="shared" si="2" ref="H17:H22">C17</f>
        <v>13.74</v>
      </c>
      <c r="I17" s="169">
        <f>D17/12/C17</f>
        <v>15459.307071809799</v>
      </c>
    </row>
    <row r="18" spans="1:9" s="67" customFormat="1" ht="15">
      <c r="A18" s="81" t="s">
        <v>16</v>
      </c>
      <c r="B18" s="34" t="s">
        <v>17</v>
      </c>
      <c r="C18" s="82">
        <v>3.46</v>
      </c>
      <c r="D18" s="83">
        <f>D17*I18</f>
        <v>641870.4296215429</v>
      </c>
      <c r="E18" s="83">
        <f>E17*I18</f>
        <v>625827.555400291</v>
      </c>
      <c r="F18" s="83">
        <f t="shared" si="0"/>
        <v>641870.4296215429</v>
      </c>
      <c r="G18" s="84">
        <f t="shared" si="1"/>
        <v>16042.874221251928</v>
      </c>
      <c r="H18" s="78">
        <f t="shared" si="2"/>
        <v>3.46</v>
      </c>
      <c r="I18" s="67">
        <f>H18/H17</f>
        <v>0.25181950509461426</v>
      </c>
    </row>
    <row r="19" spans="1:9" s="67" customFormat="1" ht="15">
      <c r="A19" s="81" t="s">
        <v>18</v>
      </c>
      <c r="B19" s="34" t="s">
        <v>19</v>
      </c>
      <c r="C19" s="82">
        <v>1.69</v>
      </c>
      <c r="D19" s="83">
        <f>D17*I19</f>
        <v>313514.74741630274</v>
      </c>
      <c r="E19" s="83">
        <f>E17*I19</f>
        <v>305678.77705967973</v>
      </c>
      <c r="F19" s="83">
        <f t="shared" si="0"/>
        <v>313514.74741630274</v>
      </c>
      <c r="G19" s="84">
        <f t="shared" si="1"/>
        <v>7835.970356623002</v>
      </c>
      <c r="H19" s="78">
        <f t="shared" si="2"/>
        <v>1.69</v>
      </c>
      <c r="I19" s="67">
        <f>H19/H17</f>
        <v>0.12299854439592431</v>
      </c>
    </row>
    <row r="20" spans="1:9" s="67" customFormat="1" ht="15">
      <c r="A20" s="81" t="s">
        <v>20</v>
      </c>
      <c r="B20" s="34" t="s">
        <v>21</v>
      </c>
      <c r="C20" s="82">
        <v>2.05</v>
      </c>
      <c r="D20" s="83">
        <f>D17*I20</f>
        <v>380298.953966521</v>
      </c>
      <c r="E20" s="83">
        <f>E17*I20</f>
        <v>370793.7828238718</v>
      </c>
      <c r="F20" s="83">
        <f t="shared" si="0"/>
        <v>380298.953966521</v>
      </c>
      <c r="G20" s="84">
        <f t="shared" si="1"/>
        <v>9505.171142649197</v>
      </c>
      <c r="H20" s="78">
        <f t="shared" si="2"/>
        <v>2.05</v>
      </c>
      <c r="I20" s="67">
        <f>H20/H17</f>
        <v>0.1491994177583697</v>
      </c>
    </row>
    <row r="21" spans="1:9" s="67" customFormat="1" ht="15">
      <c r="A21" s="81" t="s">
        <v>22</v>
      </c>
      <c r="B21" s="34" t="s">
        <v>23</v>
      </c>
      <c r="C21" s="82">
        <v>3.04</v>
      </c>
      <c r="D21" s="83">
        <f>D17*I21</f>
        <v>563955.5219796215</v>
      </c>
      <c r="E21" s="83">
        <f>E17*I21</f>
        <v>549860.0486754002</v>
      </c>
      <c r="F21" s="83">
        <f t="shared" si="0"/>
        <v>563955.5219796215</v>
      </c>
      <c r="G21" s="84">
        <f t="shared" si="1"/>
        <v>14095.47330422129</v>
      </c>
      <c r="H21" s="78">
        <f t="shared" si="2"/>
        <v>3.04</v>
      </c>
      <c r="I21" s="67">
        <f>H21/H17</f>
        <v>0.22125181950509462</v>
      </c>
    </row>
    <row r="22" spans="1:9" s="67" customFormat="1" ht="15">
      <c r="A22" s="81" t="s">
        <v>22</v>
      </c>
      <c r="B22" s="34" t="s">
        <v>190</v>
      </c>
      <c r="C22" s="82">
        <v>3.5</v>
      </c>
      <c r="D22" s="83">
        <f>D17*I22</f>
        <v>649290.8970160116</v>
      </c>
      <c r="E22" s="83">
        <f>E17*I22</f>
        <v>633062.5560407569</v>
      </c>
      <c r="F22" s="83">
        <f>D22</f>
        <v>649290.8970160116</v>
      </c>
      <c r="G22" s="84">
        <f t="shared" si="1"/>
        <v>16228.340975254774</v>
      </c>
      <c r="H22" s="78">
        <f t="shared" si="2"/>
        <v>3.5</v>
      </c>
      <c r="I22" s="67">
        <f>H22/H17</f>
        <v>0.2547307132459971</v>
      </c>
    </row>
    <row r="23" spans="1:17" s="39" customFormat="1" ht="15">
      <c r="A23" s="41" t="s">
        <v>25</v>
      </c>
      <c r="B23" s="41" t="s">
        <v>26</v>
      </c>
      <c r="C23" s="97">
        <v>3.86</v>
      </c>
      <c r="D23" s="77">
        <f>459732.6+240651.38</f>
        <v>700383.98</v>
      </c>
      <c r="E23" s="77">
        <f>463403.27+241120.71</f>
        <v>704523.98</v>
      </c>
      <c r="F23" s="76">
        <f t="shared" si="0"/>
        <v>700383.98</v>
      </c>
      <c r="G23" s="77">
        <f aca="true" t="shared" si="3" ref="G23:G32">D23-E23</f>
        <v>-4140</v>
      </c>
      <c r="M23" s="237"/>
      <c r="Q23" s="184"/>
    </row>
    <row r="24" spans="1:13" s="39" customFormat="1" ht="15">
      <c r="A24" s="41" t="s">
        <v>27</v>
      </c>
      <c r="B24" s="41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3"/>
        <v>0</v>
      </c>
      <c r="M24" s="237"/>
    </row>
    <row r="25" spans="1:13" s="39" customFormat="1" ht="15">
      <c r="A25" s="41" t="s">
        <v>29</v>
      </c>
      <c r="B25" s="41" t="s">
        <v>168</v>
      </c>
      <c r="C25" s="97">
        <v>1902.11</v>
      </c>
      <c r="D25" s="90">
        <v>0</v>
      </c>
      <c r="E25" s="90">
        <v>0</v>
      </c>
      <c r="F25" s="90">
        <f t="shared" si="0"/>
        <v>0</v>
      </c>
      <c r="G25" s="77">
        <f t="shared" si="3"/>
        <v>0</v>
      </c>
      <c r="M25" s="237"/>
    </row>
    <row r="26" spans="1:15" s="39" customFormat="1" ht="15">
      <c r="A26" s="41" t="s">
        <v>31</v>
      </c>
      <c r="B26" s="41" t="s">
        <v>119</v>
      </c>
      <c r="C26" s="97">
        <v>2.06</v>
      </c>
      <c r="D26" s="77">
        <f>245539.32+131124.94</f>
        <v>376664.26</v>
      </c>
      <c r="E26" s="77">
        <f>247655.99+129665.1</f>
        <v>377321.08999999997</v>
      </c>
      <c r="F26" s="87">
        <f>G45</f>
        <v>684839.2109</v>
      </c>
      <c r="G26" s="77">
        <f t="shared" si="3"/>
        <v>-656.8299999999581</v>
      </c>
      <c r="M26" s="237"/>
      <c r="O26" s="184"/>
    </row>
    <row r="27" spans="1:13" s="39" customFormat="1" ht="15">
      <c r="A27" s="41" t="s">
        <v>33</v>
      </c>
      <c r="B27" s="41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3"/>
        <v>0</v>
      </c>
      <c r="M27" s="237"/>
    </row>
    <row r="28" spans="1:13" s="39" customFormat="1" ht="15">
      <c r="A28" s="41" t="s">
        <v>35</v>
      </c>
      <c r="B28" s="41" t="s">
        <v>36</v>
      </c>
      <c r="C28" s="97">
        <f>SUM(C29:C32)</f>
        <v>0</v>
      </c>
      <c r="D28" s="77">
        <f>SUM(D29:D32)</f>
        <v>9711672.64</v>
      </c>
      <c r="E28" s="77">
        <f>SUM(E29:E32)</f>
        <v>9851872.99</v>
      </c>
      <c r="F28" s="77">
        <f>SUM(F29:F32)</f>
        <v>9711672.64</v>
      </c>
      <c r="G28" s="77">
        <f t="shared" si="3"/>
        <v>-140200.34999999963</v>
      </c>
      <c r="M28" s="237"/>
    </row>
    <row r="29" spans="1:7" ht="15">
      <c r="A29" s="34" t="s">
        <v>37</v>
      </c>
      <c r="B29" s="34" t="s">
        <v>180</v>
      </c>
      <c r="C29" s="301" t="s">
        <v>430</v>
      </c>
      <c r="D29" s="84">
        <f>1393482.24+1167666.22</f>
        <v>2561148.46</v>
      </c>
      <c r="E29" s="84">
        <f>1399823.25+1192496.59</f>
        <v>2592319.84</v>
      </c>
      <c r="F29" s="84">
        <f>D29</f>
        <v>2561148.46</v>
      </c>
      <c r="G29" s="84">
        <f t="shared" si="3"/>
        <v>-31171.37999999989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f>691991.41+352531.58</f>
        <v>1044522.99</v>
      </c>
      <c r="E30" s="84">
        <f>743243.99+391006.77</f>
        <v>1134250.76</v>
      </c>
      <c r="F30" s="84">
        <f>D30</f>
        <v>1044522.99</v>
      </c>
      <c r="G30" s="84">
        <f t="shared" si="3"/>
        <v>-89727.77000000002</v>
      </c>
    </row>
    <row r="31" spans="1:7" ht="15">
      <c r="A31" s="34" t="s">
        <v>42</v>
      </c>
      <c r="B31" s="34" t="s">
        <v>143</v>
      </c>
      <c r="C31" s="294" t="s">
        <v>431</v>
      </c>
      <c r="D31" s="84">
        <f>987197.51+609311.55</f>
        <v>1596509.06</v>
      </c>
      <c r="E31" s="84">
        <f>1023558.5+615354.06</f>
        <v>1638912.56</v>
      </c>
      <c r="F31" s="84">
        <f>D31</f>
        <v>1596509.06</v>
      </c>
      <c r="G31" s="84">
        <f t="shared" si="3"/>
        <v>-42403.5</v>
      </c>
    </row>
    <row r="32" spans="1:7" ht="15">
      <c r="A32" s="34" t="s">
        <v>41</v>
      </c>
      <c r="B32" s="34" t="s">
        <v>43</v>
      </c>
      <c r="C32" s="293" t="s">
        <v>427</v>
      </c>
      <c r="D32" s="84">
        <f>2857393.64+1652098.49</f>
        <v>4509492.13</v>
      </c>
      <c r="E32" s="84">
        <f>2850747.26+1635642.57</f>
        <v>4486389.83</v>
      </c>
      <c r="F32" s="84">
        <f>D32</f>
        <v>4509492.13</v>
      </c>
      <c r="G32" s="84">
        <f t="shared" si="3"/>
        <v>23102.299999999814</v>
      </c>
    </row>
    <row r="33" spans="1:7" ht="18" customHeight="1">
      <c r="A33" s="238" t="s">
        <v>211</v>
      </c>
      <c r="B33" s="344" t="s">
        <v>346</v>
      </c>
      <c r="C33" s="351"/>
      <c r="D33" s="352">
        <f>3000+4800+3600+10800+3000</f>
        <v>25200</v>
      </c>
      <c r="E33" s="352">
        <f>3000+4780+2700+10800+3000</f>
        <v>24280</v>
      </c>
      <c r="F33" s="352">
        <v>0</v>
      </c>
      <c r="G33" s="352">
        <f>D33-E33</f>
        <v>920</v>
      </c>
    </row>
    <row r="34" spans="1:10" s="102" customFormat="1" ht="15.75" thickBot="1">
      <c r="A34" s="363" t="s">
        <v>378</v>
      </c>
      <c r="B34" s="364"/>
      <c r="C34" s="364"/>
      <c r="D34" s="365"/>
      <c r="E34" s="365"/>
      <c r="F34" s="365"/>
      <c r="G34" s="101"/>
      <c r="H34" s="101"/>
      <c r="I34" s="101"/>
      <c r="J34" s="101"/>
    </row>
    <row r="35" spans="1:9" s="67" customFormat="1" ht="15.75" thickBot="1">
      <c r="A35" s="378" t="s">
        <v>383</v>
      </c>
      <c r="B35" s="379"/>
      <c r="C35" s="379"/>
      <c r="D35" s="65">
        <f>1499640.36+870641.39</f>
        <v>2370281.75</v>
      </c>
      <c r="E35" s="66"/>
      <c r="F35" s="66"/>
      <c r="G35" s="66"/>
      <c r="H35" s="62"/>
      <c r="I35" s="62"/>
    </row>
    <row r="36" spans="1:9" s="67" customFormat="1" ht="5.25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63">
        <f>G14+E26-F26</f>
        <v>-81117.47789999982</v>
      </c>
      <c r="H37" s="239"/>
      <c r="I37" s="62"/>
    </row>
    <row r="38" spans="1:9" s="67" customFormat="1" ht="5.25" customHeight="1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15">
      <c r="A39" s="486" t="s">
        <v>149</v>
      </c>
      <c r="B39" s="486"/>
      <c r="C39" s="68"/>
      <c r="D39" s="40"/>
      <c r="E39" s="66"/>
      <c r="F39" s="66"/>
      <c r="G39" s="40"/>
      <c r="H39" s="62"/>
      <c r="I39" s="62"/>
    </row>
    <row r="40" spans="1:9" s="67" customFormat="1" ht="15">
      <c r="A40" s="449" t="s">
        <v>150</v>
      </c>
      <c r="B40" s="450"/>
      <c r="C40" s="44" t="s">
        <v>151</v>
      </c>
      <c r="D40" s="44" t="s">
        <v>152</v>
      </c>
      <c r="E40" s="45" t="s">
        <v>153</v>
      </c>
      <c r="F40" s="42" t="s">
        <v>154</v>
      </c>
      <c r="G40" s="45" t="s">
        <v>155</v>
      </c>
      <c r="H40" s="62"/>
      <c r="I40" s="62"/>
    </row>
    <row r="41" spans="1:9" s="67" customFormat="1" ht="15">
      <c r="A41" s="451"/>
      <c r="B41" s="452"/>
      <c r="C41" s="302">
        <f>95.1+88.2+105.9+151.9+137.3+99+97.9+101.8+104.6+98.9</f>
        <v>1080.6000000000001</v>
      </c>
      <c r="D41" s="155">
        <v>14.85</v>
      </c>
      <c r="E41" s="81">
        <f>17004.96+20417.48+15744.39+15662.05+26471.44+57589.32+20166.92+19067.88+18335.32</f>
        <v>210459.76</v>
      </c>
      <c r="F41" s="81">
        <f>15570.83+18695.55+3860.78+15662.05+22086.08+66728.05+20166.92+17459.77+16760</f>
        <v>196990.03</v>
      </c>
      <c r="G41" s="155">
        <f>E41-F41</f>
        <v>13469.73000000001</v>
      </c>
      <c r="H41" s="62"/>
      <c r="I41" s="62">
        <v>95.1</v>
      </c>
    </row>
    <row r="42" spans="1:9" ht="35.25" customHeight="1">
      <c r="A42" s="433" t="s">
        <v>44</v>
      </c>
      <c r="B42" s="487"/>
      <c r="C42" s="487"/>
      <c r="D42" s="487"/>
      <c r="E42" s="487"/>
      <c r="F42" s="487"/>
      <c r="G42" s="487"/>
      <c r="H42" s="201"/>
      <c r="I42" s="201"/>
    </row>
    <row r="44" spans="1:9" s="173" customFormat="1" ht="28.5" customHeight="1">
      <c r="A44" s="105" t="s">
        <v>11</v>
      </c>
      <c r="B44" s="497" t="s">
        <v>45</v>
      </c>
      <c r="C44" s="497"/>
      <c r="D44" s="497"/>
      <c r="E44" s="105" t="s">
        <v>170</v>
      </c>
      <c r="F44" s="105" t="s">
        <v>169</v>
      </c>
      <c r="G44" s="105" t="s">
        <v>46</v>
      </c>
      <c r="H44" s="242"/>
      <c r="I44" s="114"/>
    </row>
    <row r="45" spans="1:9" s="115" customFormat="1" ht="15">
      <c r="A45" s="109" t="s">
        <v>47</v>
      </c>
      <c r="B45" s="498" t="s">
        <v>114</v>
      </c>
      <c r="C45" s="498"/>
      <c r="D45" s="498"/>
      <c r="E45" s="174"/>
      <c r="F45" s="174"/>
      <c r="G45" s="284">
        <f>SUM(G46:I70)</f>
        <v>684839.2109</v>
      </c>
      <c r="H45" s="285"/>
      <c r="I45" s="286"/>
    </row>
    <row r="46" spans="1:9" ht="15" customHeight="1">
      <c r="A46" s="34" t="s">
        <v>16</v>
      </c>
      <c r="B46" s="496" t="s">
        <v>608</v>
      </c>
      <c r="C46" s="496"/>
      <c r="D46" s="496"/>
      <c r="E46" s="153" t="s">
        <v>241</v>
      </c>
      <c r="F46" s="153">
        <v>0.02</v>
      </c>
      <c r="G46" s="121">
        <v>1151</v>
      </c>
      <c r="H46" s="287"/>
      <c r="I46" s="287"/>
    </row>
    <row r="47" spans="1:9" ht="15" customHeight="1">
      <c r="A47" s="34" t="s">
        <v>18</v>
      </c>
      <c r="B47" s="496" t="s">
        <v>609</v>
      </c>
      <c r="C47" s="496"/>
      <c r="D47" s="496"/>
      <c r="E47" s="153" t="s">
        <v>241</v>
      </c>
      <c r="F47" s="153">
        <v>0.02</v>
      </c>
      <c r="G47" s="121">
        <v>2191.19</v>
      </c>
      <c r="H47" s="287"/>
      <c r="I47" s="287"/>
    </row>
    <row r="48" spans="1:9" ht="15" customHeight="1">
      <c r="A48" s="34" t="s">
        <v>20</v>
      </c>
      <c r="B48" s="496" t="s">
        <v>609</v>
      </c>
      <c r="C48" s="496"/>
      <c r="D48" s="496"/>
      <c r="E48" s="153" t="s">
        <v>241</v>
      </c>
      <c r="F48" s="153">
        <v>0.02</v>
      </c>
      <c r="G48" s="121">
        <v>2356.06</v>
      </c>
      <c r="H48" s="287"/>
      <c r="I48" s="287"/>
    </row>
    <row r="49" spans="1:9" ht="15">
      <c r="A49" s="34" t="s">
        <v>22</v>
      </c>
      <c r="B49" s="496" t="s">
        <v>610</v>
      </c>
      <c r="C49" s="496"/>
      <c r="D49" s="496"/>
      <c r="E49" s="153" t="s">
        <v>241</v>
      </c>
      <c r="F49" s="153">
        <v>0.01</v>
      </c>
      <c r="G49" s="121">
        <v>2935</v>
      </c>
      <c r="H49" s="287"/>
      <c r="I49" s="287"/>
    </row>
    <row r="50" spans="1:9" ht="15" customHeight="1">
      <c r="A50" s="34" t="s">
        <v>24</v>
      </c>
      <c r="B50" s="496" t="s">
        <v>610</v>
      </c>
      <c r="C50" s="496"/>
      <c r="D50" s="496"/>
      <c r="E50" s="153" t="s">
        <v>241</v>
      </c>
      <c r="F50" s="153">
        <v>0.01</v>
      </c>
      <c r="G50" s="121">
        <v>2935</v>
      </c>
      <c r="H50" s="287"/>
      <c r="I50" s="287"/>
    </row>
    <row r="51" spans="1:9" ht="15" customHeight="1">
      <c r="A51" s="34" t="s">
        <v>106</v>
      </c>
      <c r="B51" s="496" t="s">
        <v>611</v>
      </c>
      <c r="C51" s="496"/>
      <c r="D51" s="496"/>
      <c r="E51" s="153" t="s">
        <v>241</v>
      </c>
      <c r="F51" s="153">
        <v>0.01</v>
      </c>
      <c r="G51" s="121">
        <v>3695</v>
      </c>
      <c r="H51" s="287"/>
      <c r="I51" s="287"/>
    </row>
    <row r="52" spans="1:9" ht="15" customHeight="1">
      <c r="A52" s="34" t="s">
        <v>107</v>
      </c>
      <c r="B52" s="496" t="s">
        <v>613</v>
      </c>
      <c r="C52" s="496"/>
      <c r="D52" s="496"/>
      <c r="E52" s="153" t="s">
        <v>265</v>
      </c>
      <c r="F52" s="153">
        <v>0.08</v>
      </c>
      <c r="G52" s="121">
        <v>6759.4</v>
      </c>
      <c r="H52" s="287"/>
      <c r="I52" s="287"/>
    </row>
    <row r="53" spans="1:9" ht="15" customHeight="1">
      <c r="A53" s="34" t="s">
        <v>120</v>
      </c>
      <c r="B53" s="496" t="s">
        <v>614</v>
      </c>
      <c r="C53" s="496"/>
      <c r="D53" s="496"/>
      <c r="E53" s="153" t="s">
        <v>265</v>
      </c>
      <c r="F53" s="153">
        <v>0.01</v>
      </c>
      <c r="G53" s="121">
        <v>310.6</v>
      </c>
      <c r="H53" s="183"/>
      <c r="I53" s="183"/>
    </row>
    <row r="54" spans="1:9" ht="27.75" customHeight="1">
      <c r="A54" s="34" t="s">
        <v>121</v>
      </c>
      <c r="B54" s="496" t="s">
        <v>615</v>
      </c>
      <c r="C54" s="496"/>
      <c r="D54" s="496"/>
      <c r="E54" s="153" t="s">
        <v>248</v>
      </c>
      <c r="F54" s="153">
        <v>1</v>
      </c>
      <c r="G54" s="121">
        <v>11180.56</v>
      </c>
      <c r="H54" s="183"/>
      <c r="I54" s="183"/>
    </row>
    <row r="55" spans="1:9" ht="15" customHeight="1">
      <c r="A55" s="34" t="s">
        <v>122</v>
      </c>
      <c r="B55" s="496" t="s">
        <v>167</v>
      </c>
      <c r="C55" s="496"/>
      <c r="D55" s="496"/>
      <c r="E55" s="153" t="s">
        <v>174</v>
      </c>
      <c r="F55" s="153">
        <v>300</v>
      </c>
      <c r="G55" s="121">
        <v>2908.8</v>
      </c>
      <c r="H55" s="183"/>
      <c r="I55" s="183"/>
    </row>
    <row r="56" spans="1:9" ht="15" customHeight="1">
      <c r="A56" s="34" t="s">
        <v>144</v>
      </c>
      <c r="B56" s="496" t="s">
        <v>617</v>
      </c>
      <c r="C56" s="496"/>
      <c r="D56" s="496"/>
      <c r="E56" s="153" t="s">
        <v>505</v>
      </c>
      <c r="F56" s="153">
        <v>0.01</v>
      </c>
      <c r="G56" s="121">
        <v>394.85</v>
      </c>
      <c r="H56" s="183"/>
      <c r="I56" s="183"/>
    </row>
    <row r="57" spans="1:9" ht="15" customHeight="1">
      <c r="A57" s="34" t="s">
        <v>146</v>
      </c>
      <c r="B57" s="496" t="s">
        <v>616</v>
      </c>
      <c r="C57" s="496"/>
      <c r="D57" s="496"/>
      <c r="E57" s="153" t="s">
        <v>174</v>
      </c>
      <c r="F57" s="153">
        <v>340</v>
      </c>
      <c r="G57" s="121">
        <v>303000</v>
      </c>
      <c r="H57" s="183"/>
      <c r="I57" s="183"/>
    </row>
    <row r="58" spans="1:9" ht="15" customHeight="1">
      <c r="A58" s="34" t="s">
        <v>147</v>
      </c>
      <c r="B58" s="496" t="s">
        <v>616</v>
      </c>
      <c r="C58" s="496"/>
      <c r="D58" s="496"/>
      <c r="E58" s="153" t="s">
        <v>174</v>
      </c>
      <c r="F58" s="153">
        <v>340</v>
      </c>
      <c r="G58" s="121">
        <v>303000</v>
      </c>
      <c r="H58" s="183"/>
      <c r="I58" s="183"/>
    </row>
    <row r="59" spans="1:9" ht="15" customHeight="1">
      <c r="A59" s="34" t="s">
        <v>320</v>
      </c>
      <c r="B59" s="496" t="s">
        <v>771</v>
      </c>
      <c r="C59" s="496"/>
      <c r="D59" s="496"/>
      <c r="E59" s="153" t="s">
        <v>505</v>
      </c>
      <c r="F59" s="153">
        <v>0.5</v>
      </c>
      <c r="G59" s="121">
        <v>3013.28</v>
      </c>
      <c r="H59" s="183"/>
      <c r="I59" s="183"/>
    </row>
    <row r="60" spans="1:9" ht="15" customHeight="1">
      <c r="A60" s="34" t="s">
        <v>357</v>
      </c>
      <c r="B60" s="496" t="s">
        <v>740</v>
      </c>
      <c r="C60" s="496"/>
      <c r="D60" s="496"/>
      <c r="E60" s="153" t="s">
        <v>248</v>
      </c>
      <c r="F60" s="153">
        <v>1</v>
      </c>
      <c r="G60" s="121">
        <v>2800</v>
      </c>
      <c r="H60" s="183"/>
      <c r="I60" s="183"/>
    </row>
    <row r="61" spans="1:9" ht="15" customHeight="1">
      <c r="A61" s="34" t="s">
        <v>361</v>
      </c>
      <c r="B61" s="496" t="s">
        <v>772</v>
      </c>
      <c r="C61" s="496"/>
      <c r="D61" s="496"/>
      <c r="E61" s="153" t="s">
        <v>248</v>
      </c>
      <c r="F61" s="153">
        <v>1</v>
      </c>
      <c r="G61" s="121">
        <v>280</v>
      </c>
      <c r="H61" s="183"/>
      <c r="I61" s="183"/>
    </row>
    <row r="62" spans="1:9" ht="15" customHeight="1">
      <c r="A62" s="34" t="s">
        <v>362</v>
      </c>
      <c r="B62" s="496" t="s">
        <v>762</v>
      </c>
      <c r="C62" s="496"/>
      <c r="D62" s="496"/>
      <c r="E62" s="153" t="s">
        <v>248</v>
      </c>
      <c r="F62" s="153">
        <v>3</v>
      </c>
      <c r="G62" s="121">
        <v>2100</v>
      </c>
      <c r="H62" s="183"/>
      <c r="I62" s="183"/>
    </row>
    <row r="63" spans="1:9" ht="15" customHeight="1">
      <c r="A63" s="34" t="s">
        <v>363</v>
      </c>
      <c r="B63" s="496" t="s">
        <v>773</v>
      </c>
      <c r="C63" s="496"/>
      <c r="D63" s="496"/>
      <c r="E63" s="153" t="s">
        <v>248</v>
      </c>
      <c r="F63" s="153">
        <v>1</v>
      </c>
      <c r="G63" s="121">
        <v>3300</v>
      </c>
      <c r="H63" s="183"/>
      <c r="I63" s="183"/>
    </row>
    <row r="64" spans="1:9" ht="15" customHeight="1">
      <c r="A64" s="34" t="s">
        <v>764</v>
      </c>
      <c r="B64" s="496" t="s">
        <v>747</v>
      </c>
      <c r="C64" s="496"/>
      <c r="D64" s="496"/>
      <c r="E64" s="153" t="s">
        <v>248</v>
      </c>
      <c r="F64" s="153">
        <v>1</v>
      </c>
      <c r="G64" s="121">
        <v>220</v>
      </c>
      <c r="H64" s="183"/>
      <c r="I64" s="183"/>
    </row>
    <row r="65" spans="1:9" ht="15" customHeight="1">
      <c r="A65" s="34" t="s">
        <v>765</v>
      </c>
      <c r="B65" s="496" t="s">
        <v>774</v>
      </c>
      <c r="C65" s="496"/>
      <c r="D65" s="496"/>
      <c r="E65" s="153" t="s">
        <v>265</v>
      </c>
      <c r="F65" s="153"/>
      <c r="G65" s="121">
        <v>21204.75</v>
      </c>
      <c r="H65" s="183"/>
      <c r="I65" s="183"/>
    </row>
    <row r="66" spans="1:9" ht="15" customHeight="1">
      <c r="A66" s="34" t="s">
        <v>766</v>
      </c>
      <c r="B66" s="496" t="s">
        <v>618</v>
      </c>
      <c r="C66" s="496"/>
      <c r="D66" s="496"/>
      <c r="E66" s="153" t="s">
        <v>265</v>
      </c>
      <c r="F66" s="153">
        <v>0.01</v>
      </c>
      <c r="G66" s="121">
        <v>227.75</v>
      </c>
      <c r="H66" s="183"/>
      <c r="I66" s="183"/>
    </row>
    <row r="67" spans="1:9" ht="15" customHeight="1">
      <c r="A67" s="34" t="s">
        <v>767</v>
      </c>
      <c r="B67" s="496" t="s">
        <v>619</v>
      </c>
      <c r="C67" s="496"/>
      <c r="D67" s="496"/>
      <c r="E67" s="153" t="s">
        <v>241</v>
      </c>
      <c r="F67" s="153">
        <v>0.01</v>
      </c>
      <c r="G67" s="121">
        <v>4615.66</v>
      </c>
      <c r="H67" s="183"/>
      <c r="I67" s="183"/>
    </row>
    <row r="68" spans="1:9" ht="15" customHeight="1">
      <c r="A68" s="34" t="s">
        <v>768</v>
      </c>
      <c r="B68" s="496" t="s">
        <v>620</v>
      </c>
      <c r="C68" s="496"/>
      <c r="D68" s="496"/>
      <c r="E68" s="153" t="s">
        <v>241</v>
      </c>
      <c r="F68" s="153">
        <v>0.03</v>
      </c>
      <c r="G68" s="121">
        <v>487.1</v>
      </c>
      <c r="H68" s="183"/>
      <c r="I68" s="183"/>
    </row>
    <row r="69" spans="1:9" ht="15" customHeight="1">
      <c r="A69" s="34" t="s">
        <v>769</v>
      </c>
      <c r="B69" s="496"/>
      <c r="C69" s="496"/>
      <c r="D69" s="496"/>
      <c r="E69" s="153"/>
      <c r="F69" s="153"/>
      <c r="G69" s="121"/>
      <c r="H69" s="183"/>
      <c r="I69" s="183"/>
    </row>
    <row r="70" spans="1:9" s="67" customFormat="1" ht="15">
      <c r="A70" s="34" t="s">
        <v>770</v>
      </c>
      <c r="B70" s="499" t="s">
        <v>198</v>
      </c>
      <c r="C70" s="499"/>
      <c r="D70" s="499"/>
      <c r="E70" s="193"/>
      <c r="F70" s="193"/>
      <c r="G70" s="121">
        <f>E26*1%</f>
        <v>3773.2108999999996</v>
      </c>
      <c r="H70" s="287"/>
      <c r="I70" s="287"/>
    </row>
    <row r="71" s="67" customFormat="1" ht="15"/>
    <row r="72" spans="1:8" ht="15">
      <c r="A72" s="67" t="s">
        <v>55</v>
      </c>
      <c r="B72" s="67"/>
      <c r="C72" s="67" t="s">
        <v>49</v>
      </c>
      <c r="D72" s="67"/>
      <c r="E72" s="67"/>
      <c r="F72" s="67"/>
      <c r="G72" s="67" t="s">
        <v>93</v>
      </c>
      <c r="H72" s="67"/>
    </row>
    <row r="73" spans="1:8" ht="15">
      <c r="A73" s="67"/>
      <c r="B73" s="67"/>
      <c r="C73" s="67"/>
      <c r="D73" s="67"/>
      <c r="E73" s="67"/>
      <c r="F73" s="67"/>
      <c r="G73" s="128" t="s">
        <v>516</v>
      </c>
      <c r="H73" s="128"/>
    </row>
    <row r="74" spans="1:8" ht="15">
      <c r="A74" s="67" t="s">
        <v>50</v>
      </c>
      <c r="B74" s="67"/>
      <c r="C74" s="67"/>
      <c r="D74" s="67"/>
      <c r="E74" s="67"/>
      <c r="F74" s="67"/>
      <c r="G74" s="67"/>
      <c r="H74" s="67"/>
    </row>
    <row r="75" spans="1:8" ht="15">
      <c r="A75" s="67"/>
      <c r="B75" s="67"/>
      <c r="C75" s="130" t="s">
        <v>51</v>
      </c>
      <c r="D75" s="130"/>
      <c r="E75" s="67"/>
      <c r="F75" s="130"/>
      <c r="G75" s="130"/>
      <c r="H75" s="130"/>
    </row>
  </sheetData>
  <sheetProtection/>
  <mergeCells count="39">
    <mergeCell ref="B59:D59"/>
    <mergeCell ref="B63:D63"/>
    <mergeCell ref="B64:D64"/>
    <mergeCell ref="B65:D65"/>
    <mergeCell ref="B60:D60"/>
    <mergeCell ref="B61:D61"/>
    <mergeCell ref="B62:D62"/>
    <mergeCell ref="B70:D70"/>
    <mergeCell ref="B50:D50"/>
    <mergeCell ref="B51:D51"/>
    <mergeCell ref="B52:D52"/>
    <mergeCell ref="B66:D66"/>
    <mergeCell ref="B67:D67"/>
    <mergeCell ref="B58:D58"/>
    <mergeCell ref="B69:D69"/>
    <mergeCell ref="B68:D68"/>
    <mergeCell ref="B57:D57"/>
    <mergeCell ref="A1:G1"/>
    <mergeCell ref="A2:G2"/>
    <mergeCell ref="A3:G3"/>
    <mergeCell ref="A5:G5"/>
    <mergeCell ref="A10:G10"/>
    <mergeCell ref="B54:D54"/>
    <mergeCell ref="A34:F34"/>
    <mergeCell ref="A35:C35"/>
    <mergeCell ref="B49:D49"/>
    <mergeCell ref="A39:B39"/>
    <mergeCell ref="A40:B41"/>
    <mergeCell ref="A11:G11"/>
    <mergeCell ref="A12:G12"/>
    <mergeCell ref="B46:D46"/>
    <mergeCell ref="B47:D47"/>
    <mergeCell ref="B45:D45"/>
    <mergeCell ref="B55:D55"/>
    <mergeCell ref="B56:D56"/>
    <mergeCell ref="B48:D48"/>
    <mergeCell ref="B44:D44"/>
    <mergeCell ref="A42:G42"/>
    <mergeCell ref="B53:D5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7030A0"/>
  </sheetPr>
  <dimension ref="A1:M59"/>
  <sheetViews>
    <sheetView zoomScalePageLayoutView="0" workbookViewId="0" topLeftCell="A23">
      <selection activeCell="G37" sqref="G37"/>
    </sheetView>
  </sheetViews>
  <sheetFormatPr defaultColWidth="9.140625" defaultRowHeight="15" outlineLevelCol="1"/>
  <cols>
    <col min="1" max="1" width="6.28125" style="35" customWidth="1"/>
    <col min="2" max="2" width="44.140625" style="35" customWidth="1"/>
    <col min="3" max="3" width="13.00390625" style="35" customWidth="1"/>
    <col min="4" max="4" width="16.7109375" style="35" customWidth="1"/>
    <col min="5" max="5" width="12.7109375" style="35" customWidth="1"/>
    <col min="6" max="6" width="15.00390625" style="35" customWidth="1"/>
    <col min="7" max="7" width="14.00390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00390625" style="235" bestFit="1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15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7" spans="1:6" s="67" customFormat="1" ht="15">
      <c r="A7" s="67" t="s">
        <v>2</v>
      </c>
      <c r="F7" s="128" t="s">
        <v>139</v>
      </c>
    </row>
    <row r="8" spans="1:9" s="67" customFormat="1" ht="15">
      <c r="A8" s="67" t="s">
        <v>3</v>
      </c>
      <c r="F8" s="299" t="s">
        <v>432</v>
      </c>
      <c r="H8" s="169">
        <v>111.9</v>
      </c>
      <c r="I8" s="236">
        <f>9269.5+111.9</f>
        <v>9381.4</v>
      </c>
    </row>
    <row r="9" s="67" customFormat="1" ht="15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15.75" thickBot="1">
      <c r="A13" s="68"/>
      <c r="B13" s="68"/>
      <c r="C13" s="68"/>
      <c r="D13" s="223"/>
      <c r="E13" s="66"/>
      <c r="F13" s="66"/>
      <c r="G13" s="66"/>
      <c r="H13" s="62"/>
      <c r="I13" s="62"/>
    </row>
    <row r="14" spans="1:9" s="67" customFormat="1" ht="15.75" thickBot="1">
      <c r="A14" s="63" t="s">
        <v>313</v>
      </c>
      <c r="B14" s="64"/>
      <c r="C14" s="64"/>
      <c r="D14" s="69"/>
      <c r="E14" s="70"/>
      <c r="F14" s="70"/>
      <c r="G14" s="65">
        <f>'[1]Солнечный б-р 4'!$G$38</f>
        <v>174378.68409999995</v>
      </c>
      <c r="H14" s="62"/>
      <c r="I14" s="62"/>
    </row>
    <row r="15" s="67" customFormat="1" ht="15"/>
    <row r="16" spans="1:7" s="74" customFormat="1" ht="38.25">
      <c r="A16" s="72" t="s">
        <v>11</v>
      </c>
      <c r="B16" s="72" t="s">
        <v>12</v>
      </c>
      <c r="C16" s="72" t="s">
        <v>94</v>
      </c>
      <c r="D16" s="72" t="s">
        <v>374</v>
      </c>
      <c r="E16" s="72" t="s">
        <v>375</v>
      </c>
      <c r="F16" s="73" t="s">
        <v>376</v>
      </c>
      <c r="G16" s="72" t="s">
        <v>377</v>
      </c>
    </row>
    <row r="17" spans="1:12" s="169" customFormat="1" ht="28.5">
      <c r="A17" s="75" t="s">
        <v>14</v>
      </c>
      <c r="B17" s="41" t="s">
        <v>15</v>
      </c>
      <c r="C17" s="97">
        <f>SUM(C18:C22)</f>
        <v>13.68</v>
      </c>
      <c r="D17" s="76">
        <v>1540732.93</v>
      </c>
      <c r="E17" s="76">
        <v>1541206.22</v>
      </c>
      <c r="F17" s="76">
        <f aca="true" t="shared" si="0" ref="F17:F25">D17</f>
        <v>1540732.93</v>
      </c>
      <c r="G17" s="77">
        <f aca="true" t="shared" si="1" ref="G17:G22">D17-E17</f>
        <v>-473.29000000003725</v>
      </c>
      <c r="H17" s="138">
        <f aca="true" t="shared" si="2" ref="H17:H22">C17</f>
        <v>13.68</v>
      </c>
      <c r="L17" s="169">
        <f>D17/12/C17</f>
        <v>9385.556347465887</v>
      </c>
    </row>
    <row r="18" spans="1:9" s="67" customFormat="1" ht="15">
      <c r="A18" s="81" t="s">
        <v>16</v>
      </c>
      <c r="B18" s="34" t="s">
        <v>17</v>
      </c>
      <c r="C18" s="82">
        <v>3.46</v>
      </c>
      <c r="D18" s="83">
        <f>D17*I18</f>
        <v>389688.2995467837</v>
      </c>
      <c r="E18" s="83">
        <f>E17*I18</f>
        <v>389808.00593567255</v>
      </c>
      <c r="F18" s="83">
        <f t="shared" si="0"/>
        <v>389688.2995467837</v>
      </c>
      <c r="G18" s="84">
        <f t="shared" si="1"/>
        <v>-119.70638888888061</v>
      </c>
      <c r="H18" s="78">
        <f t="shared" si="2"/>
        <v>3.46</v>
      </c>
      <c r="I18" s="67">
        <f>H18/H17</f>
        <v>0.25292397660818716</v>
      </c>
    </row>
    <row r="19" spans="1:9" s="67" customFormat="1" ht="15">
      <c r="A19" s="81" t="s">
        <v>18</v>
      </c>
      <c r="B19" s="34" t="s">
        <v>19</v>
      </c>
      <c r="C19" s="82">
        <v>1.69</v>
      </c>
      <c r="D19" s="83">
        <f>D17*I19</f>
        <v>190339.08272660818</v>
      </c>
      <c r="E19" s="83">
        <f>E17*I19</f>
        <v>190397.55203216375</v>
      </c>
      <c r="F19" s="83">
        <f t="shared" si="0"/>
        <v>190339.08272660818</v>
      </c>
      <c r="G19" s="84">
        <f t="shared" si="1"/>
        <v>-58.46930555556901</v>
      </c>
      <c r="H19" s="78">
        <f t="shared" si="2"/>
        <v>1.69</v>
      </c>
      <c r="I19" s="67">
        <f>H19/H17</f>
        <v>0.12353801169590643</v>
      </c>
    </row>
    <row r="20" spans="1:9" s="67" customFormat="1" ht="15">
      <c r="A20" s="81" t="s">
        <v>20</v>
      </c>
      <c r="B20" s="34" t="s">
        <v>21</v>
      </c>
      <c r="C20" s="82">
        <v>1.99</v>
      </c>
      <c r="D20" s="83">
        <f>D17*I20</f>
        <v>224127.08557748536</v>
      </c>
      <c r="E20" s="83">
        <f>E17*I20</f>
        <v>224195.9340497076</v>
      </c>
      <c r="F20" s="83">
        <f t="shared" si="0"/>
        <v>224127.08557748536</v>
      </c>
      <c r="G20" s="84">
        <f t="shared" si="1"/>
        <v>-68.84847222224926</v>
      </c>
      <c r="H20" s="78">
        <f t="shared" si="2"/>
        <v>1.99</v>
      </c>
      <c r="I20" s="67">
        <f>H20/H17</f>
        <v>0.14546783625730994</v>
      </c>
    </row>
    <row r="21" spans="1:9" s="67" customFormat="1" ht="15">
      <c r="A21" s="81" t="s">
        <v>22</v>
      </c>
      <c r="B21" s="34" t="s">
        <v>23</v>
      </c>
      <c r="C21" s="82">
        <v>3.04</v>
      </c>
      <c r="D21" s="83">
        <f>D17*I21</f>
        <v>342385.09555555554</v>
      </c>
      <c r="E21" s="83">
        <f>E17*I21</f>
        <v>342490.27111111116</v>
      </c>
      <c r="F21" s="83">
        <f t="shared" si="0"/>
        <v>342385.09555555554</v>
      </c>
      <c r="G21" s="84">
        <f t="shared" si="1"/>
        <v>-105.17555555561557</v>
      </c>
      <c r="H21" s="78">
        <f t="shared" si="2"/>
        <v>3.04</v>
      </c>
      <c r="I21" s="67">
        <f>H21/H17</f>
        <v>0.22222222222222224</v>
      </c>
    </row>
    <row r="22" spans="1:9" s="67" customFormat="1" ht="15">
      <c r="A22" s="81" t="s">
        <v>24</v>
      </c>
      <c r="B22" s="34" t="s">
        <v>148</v>
      </c>
      <c r="C22" s="82">
        <v>3.5</v>
      </c>
      <c r="D22" s="83">
        <f>D17*I22</f>
        <v>394193.36659356725</v>
      </c>
      <c r="E22" s="83">
        <f>E17*I22</f>
        <v>394314.456871345</v>
      </c>
      <c r="F22" s="83">
        <f>D22</f>
        <v>394193.36659356725</v>
      </c>
      <c r="G22" s="84">
        <f t="shared" si="1"/>
        <v>-121.09027777775191</v>
      </c>
      <c r="H22" s="78">
        <f t="shared" si="2"/>
        <v>3.5</v>
      </c>
      <c r="I22" s="67">
        <f>H22/H17</f>
        <v>0.25584795321637427</v>
      </c>
    </row>
    <row r="23" spans="1:13" s="39" customFormat="1" ht="15">
      <c r="A23" s="41" t="s">
        <v>25</v>
      </c>
      <c r="B23" s="41" t="s">
        <v>26</v>
      </c>
      <c r="C23" s="97">
        <v>3.86</v>
      </c>
      <c r="D23" s="77">
        <v>422316.56</v>
      </c>
      <c r="E23" s="77">
        <v>437729.99</v>
      </c>
      <c r="F23" s="76">
        <f t="shared" si="0"/>
        <v>422316.56</v>
      </c>
      <c r="G23" s="77">
        <f aca="true" t="shared" si="3" ref="G23:G33">D23-E23</f>
        <v>-15413.429999999993</v>
      </c>
      <c r="M23" s="237"/>
    </row>
    <row r="24" spans="1:13" s="39" customFormat="1" ht="15">
      <c r="A24" s="41" t="s">
        <v>27</v>
      </c>
      <c r="B24" s="41" t="s">
        <v>28</v>
      </c>
      <c r="C24" s="97"/>
      <c r="D24" s="77">
        <v>0</v>
      </c>
      <c r="E24" s="77">
        <v>0</v>
      </c>
      <c r="F24" s="77">
        <f t="shared" si="0"/>
        <v>0</v>
      </c>
      <c r="G24" s="77">
        <f t="shared" si="3"/>
        <v>0</v>
      </c>
      <c r="M24" s="237"/>
    </row>
    <row r="25" spans="1:13" s="39" customFormat="1" ht="15">
      <c r="A25" s="41" t="s">
        <v>29</v>
      </c>
      <c r="B25" s="41" t="s">
        <v>30</v>
      </c>
      <c r="C25" s="97">
        <v>0</v>
      </c>
      <c r="D25" s="77">
        <v>0</v>
      </c>
      <c r="E25" s="77">
        <v>0</v>
      </c>
      <c r="F25" s="77">
        <f t="shared" si="0"/>
        <v>0</v>
      </c>
      <c r="G25" s="77">
        <f t="shared" si="3"/>
        <v>0</v>
      </c>
      <c r="M25" s="237"/>
    </row>
    <row r="26" spans="1:13" s="39" customFormat="1" ht="15">
      <c r="A26" s="41" t="s">
        <v>31</v>
      </c>
      <c r="B26" s="41" t="s">
        <v>119</v>
      </c>
      <c r="C26" s="97">
        <v>2.06</v>
      </c>
      <c r="D26" s="77">
        <v>226538.41</v>
      </c>
      <c r="E26" s="77">
        <v>234655.1</v>
      </c>
      <c r="F26" s="87">
        <f>G44</f>
        <v>42235.671</v>
      </c>
      <c r="G26" s="77">
        <f t="shared" si="3"/>
        <v>-8116.690000000002</v>
      </c>
      <c r="M26" s="240"/>
    </row>
    <row r="27" spans="1:13" s="39" customFormat="1" ht="15">
      <c r="A27" s="41" t="s">
        <v>33</v>
      </c>
      <c r="B27" s="41" t="s">
        <v>168</v>
      </c>
      <c r="C27" s="46" t="s">
        <v>395</v>
      </c>
      <c r="D27" s="77">
        <v>0</v>
      </c>
      <c r="E27" s="77">
        <v>0</v>
      </c>
      <c r="F27" s="87">
        <f>D27</f>
        <v>0</v>
      </c>
      <c r="G27" s="77">
        <f t="shared" si="3"/>
        <v>0</v>
      </c>
      <c r="M27" s="237"/>
    </row>
    <row r="28" spans="1:13" s="39" customFormat="1" ht="15">
      <c r="A28" s="41" t="s">
        <v>35</v>
      </c>
      <c r="B28" s="41" t="s">
        <v>36</v>
      </c>
      <c r="C28" s="97">
        <f>SUM(C29:C32)</f>
        <v>0</v>
      </c>
      <c r="D28" s="77">
        <f>SUM(D29:D32)</f>
        <v>5770818.77</v>
      </c>
      <c r="E28" s="77">
        <f>SUM(E29:E32)</f>
        <v>5958507.6</v>
      </c>
      <c r="F28" s="77">
        <f>SUM(F29:F32)</f>
        <v>5770818.77</v>
      </c>
      <c r="G28" s="77">
        <f t="shared" si="3"/>
        <v>-187688.83000000007</v>
      </c>
      <c r="M28" s="237"/>
    </row>
    <row r="29" spans="1:7" ht="15">
      <c r="A29" s="34" t="s">
        <v>37</v>
      </c>
      <c r="B29" s="34" t="s">
        <v>180</v>
      </c>
      <c r="C29" s="301" t="s">
        <v>379</v>
      </c>
      <c r="D29" s="84">
        <v>1338963.88</v>
      </c>
      <c r="E29" s="84">
        <v>1389266.39</v>
      </c>
      <c r="F29" s="84">
        <f>D29</f>
        <v>1338963.88</v>
      </c>
      <c r="G29" s="84">
        <f t="shared" si="3"/>
        <v>-50302.51000000001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626179.47</v>
      </c>
      <c r="E30" s="84">
        <v>662145.16</v>
      </c>
      <c r="F30" s="84">
        <f>D30</f>
        <v>626179.47</v>
      </c>
      <c r="G30" s="84">
        <f t="shared" si="3"/>
        <v>-35965.69000000006</v>
      </c>
    </row>
    <row r="31" spans="1:7" ht="15">
      <c r="A31" s="34" t="s">
        <v>42</v>
      </c>
      <c r="B31" s="34" t="s">
        <v>143</v>
      </c>
      <c r="C31" s="294" t="s">
        <v>431</v>
      </c>
      <c r="D31" s="84">
        <v>1104515.46</v>
      </c>
      <c r="E31" s="84">
        <v>1106301.98</v>
      </c>
      <c r="F31" s="84">
        <f>D31</f>
        <v>1104515.46</v>
      </c>
      <c r="G31" s="84">
        <f t="shared" si="3"/>
        <v>-1786.5200000000186</v>
      </c>
    </row>
    <row r="32" spans="1:7" ht="15">
      <c r="A32" s="34" t="s">
        <v>41</v>
      </c>
      <c r="B32" s="34" t="s">
        <v>43</v>
      </c>
      <c r="C32" s="293" t="s">
        <v>427</v>
      </c>
      <c r="D32" s="84">
        <v>2701159.96</v>
      </c>
      <c r="E32" s="84">
        <v>2800794.07</v>
      </c>
      <c r="F32" s="84">
        <f>D32</f>
        <v>2701159.96</v>
      </c>
      <c r="G32" s="84">
        <f t="shared" si="3"/>
        <v>-99634.10999999987</v>
      </c>
    </row>
    <row r="33" spans="1:13" s="47" customFormat="1" ht="15">
      <c r="A33" s="52" t="s">
        <v>211</v>
      </c>
      <c r="B33" s="344" t="s">
        <v>346</v>
      </c>
      <c r="C33" s="353"/>
      <c r="D33" s="353">
        <f>3000+2400+3600+10800+3000</f>
        <v>22800</v>
      </c>
      <c r="E33" s="353">
        <f>3000+2390+2700+10800+3000</f>
        <v>21890</v>
      </c>
      <c r="F33" s="353">
        <v>0</v>
      </c>
      <c r="G33" s="321">
        <f t="shared" si="3"/>
        <v>910</v>
      </c>
      <c r="M33" s="48"/>
    </row>
    <row r="34" spans="1:10" s="102" customFormat="1" ht="17.25" customHeight="1" thickBot="1">
      <c r="A34" s="363" t="s">
        <v>378</v>
      </c>
      <c r="B34" s="364"/>
      <c r="C34" s="364"/>
      <c r="D34" s="365"/>
      <c r="E34" s="365"/>
      <c r="F34" s="365"/>
      <c r="G34" s="101"/>
      <c r="H34" s="101"/>
      <c r="I34" s="101"/>
      <c r="J34" s="101"/>
    </row>
    <row r="35" spans="1:9" s="67" customFormat="1" ht="15.75" thickBot="1">
      <c r="A35" s="378" t="s">
        <v>383</v>
      </c>
      <c r="B35" s="379"/>
      <c r="C35" s="379"/>
      <c r="D35" s="65">
        <v>1178541.83</v>
      </c>
      <c r="E35" s="66"/>
      <c r="F35" s="66"/>
      <c r="G35" s="66"/>
      <c r="H35" s="62"/>
      <c r="I35" s="62"/>
    </row>
    <row r="36" spans="1:9" s="67" customFormat="1" ht="8.25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13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G14+E26-F26</f>
        <v>366798.11309999996</v>
      </c>
      <c r="H37" s="62"/>
      <c r="I37" s="62"/>
      <c r="M37" s="147"/>
    </row>
    <row r="38" spans="1:9" s="67" customFormat="1" ht="15">
      <c r="A38" s="486" t="s">
        <v>149</v>
      </c>
      <c r="B38" s="486"/>
      <c r="C38" s="68"/>
      <c r="D38" s="40"/>
      <c r="E38" s="66"/>
      <c r="F38" s="66"/>
      <c r="G38" s="40"/>
      <c r="H38" s="62"/>
      <c r="I38" s="62"/>
    </row>
    <row r="39" spans="1:9" s="67" customFormat="1" ht="15">
      <c r="A39" s="429" t="s">
        <v>150</v>
      </c>
      <c r="B39" s="430"/>
      <c r="C39" s="322" t="s">
        <v>151</v>
      </c>
      <c r="D39" s="322" t="s">
        <v>152</v>
      </c>
      <c r="E39" s="323" t="s">
        <v>153</v>
      </c>
      <c r="F39" s="324" t="s">
        <v>154</v>
      </c>
      <c r="G39" s="323" t="s">
        <v>155</v>
      </c>
      <c r="H39" s="200"/>
      <c r="I39" s="200"/>
    </row>
    <row r="40" spans="1:9" s="67" customFormat="1" ht="15">
      <c r="A40" s="431"/>
      <c r="B40" s="432"/>
      <c r="C40" s="302">
        <v>111.9</v>
      </c>
      <c r="D40" s="325">
        <f>E40/12/C40</f>
        <v>15.91000893655049</v>
      </c>
      <c r="E40" s="327">
        <v>21363.96</v>
      </c>
      <c r="F40" s="327">
        <v>21300.18</v>
      </c>
      <c r="G40" s="325">
        <f>E40-F40</f>
        <v>63.779999999998836</v>
      </c>
      <c r="H40" s="200"/>
      <c r="I40" s="200"/>
    </row>
    <row r="41" spans="1:9" ht="35.25" customHeight="1">
      <c r="A41" s="433" t="s">
        <v>44</v>
      </c>
      <c r="B41" s="487"/>
      <c r="C41" s="487"/>
      <c r="D41" s="487"/>
      <c r="E41" s="487"/>
      <c r="F41" s="487"/>
      <c r="G41" s="487"/>
      <c r="H41" s="201"/>
      <c r="I41" s="201"/>
    </row>
    <row r="42" ht="9" customHeight="1"/>
    <row r="43" spans="1:9" s="173" customFormat="1" ht="28.5" customHeight="1">
      <c r="A43" s="105" t="s">
        <v>11</v>
      </c>
      <c r="B43" s="497" t="s">
        <v>45</v>
      </c>
      <c r="C43" s="497"/>
      <c r="D43" s="497"/>
      <c r="E43" s="105" t="s">
        <v>170</v>
      </c>
      <c r="F43" s="105" t="s">
        <v>169</v>
      </c>
      <c r="G43" s="105" t="s">
        <v>46</v>
      </c>
      <c r="H43" s="242"/>
      <c r="I43" s="114"/>
    </row>
    <row r="44" spans="1:9" s="115" customFormat="1" ht="15">
      <c r="A44" s="109" t="s">
        <v>47</v>
      </c>
      <c r="B44" s="498" t="s">
        <v>114</v>
      </c>
      <c r="C44" s="498"/>
      <c r="D44" s="498"/>
      <c r="E44" s="174"/>
      <c r="F44" s="174"/>
      <c r="G44" s="112">
        <f>SUM(G45:I54)</f>
        <v>42235.671</v>
      </c>
      <c r="H44" s="243"/>
      <c r="I44" s="114"/>
    </row>
    <row r="45" spans="1:9" ht="15" customHeight="1">
      <c r="A45" s="34" t="s">
        <v>16</v>
      </c>
      <c r="B45" s="496" t="s">
        <v>621</v>
      </c>
      <c r="C45" s="496"/>
      <c r="D45" s="496"/>
      <c r="E45" s="153" t="s">
        <v>248</v>
      </c>
      <c r="F45" s="153">
        <v>1</v>
      </c>
      <c r="G45" s="121">
        <v>13750</v>
      </c>
      <c r="H45" s="183"/>
      <c r="I45" s="183"/>
    </row>
    <row r="46" spans="1:9" ht="15" customHeight="1">
      <c r="A46" s="34" t="s">
        <v>18</v>
      </c>
      <c r="B46" s="496" t="s">
        <v>608</v>
      </c>
      <c r="C46" s="496"/>
      <c r="D46" s="496"/>
      <c r="E46" s="153" t="s">
        <v>241</v>
      </c>
      <c r="F46" s="153">
        <v>0.01</v>
      </c>
      <c r="G46" s="121">
        <v>5968</v>
      </c>
      <c r="H46" s="183"/>
      <c r="I46" s="183"/>
    </row>
    <row r="47" spans="1:9" ht="15" customHeight="1">
      <c r="A47" s="34" t="s">
        <v>20</v>
      </c>
      <c r="B47" s="496" t="s">
        <v>622</v>
      </c>
      <c r="C47" s="496"/>
      <c r="D47" s="496"/>
      <c r="E47" s="153" t="s">
        <v>241</v>
      </c>
      <c r="F47" s="153">
        <v>0.01</v>
      </c>
      <c r="G47" s="121">
        <v>450.98</v>
      </c>
      <c r="H47" s="183"/>
      <c r="I47" s="183"/>
    </row>
    <row r="48" spans="1:9" ht="15" customHeight="1">
      <c r="A48" s="34" t="s">
        <v>22</v>
      </c>
      <c r="B48" s="496" t="s">
        <v>623</v>
      </c>
      <c r="C48" s="496"/>
      <c r="D48" s="496"/>
      <c r="E48" s="153" t="s">
        <v>240</v>
      </c>
      <c r="F48" s="153">
        <v>0.03</v>
      </c>
      <c r="G48" s="121">
        <v>6525.6</v>
      </c>
      <c r="H48" s="183"/>
      <c r="I48" s="183"/>
    </row>
    <row r="49" spans="1:9" ht="15">
      <c r="A49" s="34" t="s">
        <v>24</v>
      </c>
      <c r="B49" s="496" t="s">
        <v>613</v>
      </c>
      <c r="C49" s="496"/>
      <c r="D49" s="496"/>
      <c r="E49" s="153" t="s">
        <v>265</v>
      </c>
      <c r="F49" s="153">
        <v>0.04</v>
      </c>
      <c r="G49" s="121">
        <v>3379.67</v>
      </c>
      <c r="H49" s="183"/>
      <c r="I49" s="183"/>
    </row>
    <row r="50" spans="1:9" ht="15" customHeight="1">
      <c r="A50" s="34" t="s">
        <v>106</v>
      </c>
      <c r="B50" s="496" t="s">
        <v>619</v>
      </c>
      <c r="C50" s="496"/>
      <c r="D50" s="496"/>
      <c r="E50" s="153" t="s">
        <v>241</v>
      </c>
      <c r="F50" s="153">
        <v>0.01</v>
      </c>
      <c r="G50" s="121">
        <v>5205.33</v>
      </c>
      <c r="H50" s="183"/>
      <c r="I50" s="183"/>
    </row>
    <row r="51" spans="1:9" ht="15" customHeight="1">
      <c r="A51" s="34" t="s">
        <v>107</v>
      </c>
      <c r="B51" s="496" t="s">
        <v>772</v>
      </c>
      <c r="C51" s="496"/>
      <c r="D51" s="496"/>
      <c r="E51" s="153" t="s">
        <v>248</v>
      </c>
      <c r="F51" s="153">
        <v>1</v>
      </c>
      <c r="G51" s="121">
        <v>280</v>
      </c>
      <c r="H51" s="183"/>
      <c r="I51" s="183"/>
    </row>
    <row r="52" spans="1:9" ht="15" customHeight="1">
      <c r="A52" s="34" t="s">
        <v>120</v>
      </c>
      <c r="B52" s="496" t="s">
        <v>762</v>
      </c>
      <c r="C52" s="496"/>
      <c r="D52" s="496"/>
      <c r="E52" s="153" t="s">
        <v>248</v>
      </c>
      <c r="F52" s="153">
        <v>1</v>
      </c>
      <c r="G52" s="121">
        <v>700</v>
      </c>
      <c r="H52" s="183"/>
      <c r="I52" s="183"/>
    </row>
    <row r="53" spans="1:9" ht="15" customHeight="1">
      <c r="A53" s="34" t="s">
        <v>121</v>
      </c>
      <c r="B53" s="496" t="s">
        <v>775</v>
      </c>
      <c r="C53" s="496"/>
      <c r="D53" s="496"/>
      <c r="E53" s="153" t="s">
        <v>240</v>
      </c>
      <c r="F53" s="153">
        <v>0.03</v>
      </c>
      <c r="G53" s="121">
        <v>3629.54</v>
      </c>
      <c r="H53" s="183"/>
      <c r="I53" s="183"/>
    </row>
    <row r="54" spans="1:9" s="67" customFormat="1" ht="15">
      <c r="A54" s="34" t="s">
        <v>122</v>
      </c>
      <c r="B54" s="499" t="s">
        <v>198</v>
      </c>
      <c r="C54" s="499"/>
      <c r="D54" s="499"/>
      <c r="E54" s="193"/>
      <c r="F54" s="193"/>
      <c r="G54" s="121">
        <f>E26*1%</f>
        <v>2346.551</v>
      </c>
      <c r="H54" s="183"/>
      <c r="I54" s="183"/>
    </row>
    <row r="55" s="67" customFormat="1" ht="15"/>
    <row r="56" spans="1:7" s="67" customFormat="1" ht="15">
      <c r="A56" s="67" t="s">
        <v>55</v>
      </c>
      <c r="C56" s="67" t="s">
        <v>49</v>
      </c>
      <c r="G56" s="67" t="s">
        <v>93</v>
      </c>
    </row>
    <row r="57" spans="1:8" ht="15">
      <c r="A57" s="67"/>
      <c r="B57" s="67"/>
      <c r="C57" s="67"/>
      <c r="D57" s="67"/>
      <c r="E57" s="67"/>
      <c r="F57" s="67"/>
      <c r="G57" s="128" t="s">
        <v>516</v>
      </c>
      <c r="H57" s="128"/>
    </row>
    <row r="58" spans="1:8" ht="15">
      <c r="A58" s="67" t="s">
        <v>50</v>
      </c>
      <c r="B58" s="67"/>
      <c r="C58" s="67"/>
      <c r="D58" s="67"/>
      <c r="E58" s="67"/>
      <c r="F58" s="67"/>
      <c r="G58" s="67"/>
      <c r="H58" s="67"/>
    </row>
    <row r="59" spans="1:8" ht="15">
      <c r="A59" s="67"/>
      <c r="B59" s="67"/>
      <c r="C59" s="130" t="s">
        <v>51</v>
      </c>
      <c r="D59" s="130"/>
      <c r="E59" s="67"/>
      <c r="F59" s="130"/>
      <c r="G59" s="130"/>
      <c r="H59" s="130"/>
    </row>
  </sheetData>
  <sheetProtection/>
  <mergeCells count="24">
    <mergeCell ref="B52:D52"/>
    <mergeCell ref="B54:D54"/>
    <mergeCell ref="B50:D50"/>
    <mergeCell ref="B53:D53"/>
    <mergeCell ref="B44:D44"/>
    <mergeCell ref="B45:D45"/>
    <mergeCell ref="B46:D46"/>
    <mergeCell ref="B47:D47"/>
    <mergeCell ref="B48:D48"/>
    <mergeCell ref="B49:D49"/>
    <mergeCell ref="B51:D51"/>
    <mergeCell ref="A12:I12"/>
    <mergeCell ref="A35:C35"/>
    <mergeCell ref="B43:D43"/>
    <mergeCell ref="A38:B38"/>
    <mergeCell ref="A39:B40"/>
    <mergeCell ref="A41:G41"/>
    <mergeCell ref="A34:F34"/>
    <mergeCell ref="A11:I11"/>
    <mergeCell ref="A1:I1"/>
    <mergeCell ref="A2:I2"/>
    <mergeCell ref="A3:K3"/>
    <mergeCell ref="A5:I5"/>
    <mergeCell ref="A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7030A0"/>
  </sheetPr>
  <dimension ref="A1:M55"/>
  <sheetViews>
    <sheetView zoomScalePageLayoutView="0" workbookViewId="0" topLeftCell="A23">
      <selection activeCell="G38" sqref="G38"/>
    </sheetView>
  </sheetViews>
  <sheetFormatPr defaultColWidth="9.140625" defaultRowHeight="15" outlineLevelCol="1"/>
  <cols>
    <col min="1" max="1" width="5.00390625" style="35" customWidth="1"/>
    <col min="2" max="2" width="49.57421875" style="35" customWidth="1"/>
    <col min="3" max="3" width="15.8515625" style="35" customWidth="1"/>
    <col min="4" max="5" width="12.7109375" style="35" customWidth="1"/>
    <col min="6" max="6" width="15.00390625" style="35" customWidth="1"/>
    <col min="7" max="7" width="14.8515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2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15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7" spans="1:6" s="67" customFormat="1" ht="15">
      <c r="A7" s="67" t="s">
        <v>2</v>
      </c>
      <c r="F7" s="128" t="s">
        <v>298</v>
      </c>
    </row>
    <row r="8" spans="1:10" s="67" customFormat="1" ht="15">
      <c r="A8" s="67" t="s">
        <v>3</v>
      </c>
      <c r="F8" s="299" t="s">
        <v>433</v>
      </c>
      <c r="I8" s="204">
        <f>2277.06+106.3</f>
        <v>2383.36</v>
      </c>
      <c r="J8" s="204">
        <v>127.1</v>
      </c>
    </row>
    <row r="9" s="67" customFormat="1" ht="15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15.75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65">
        <f>'[1]Солнечный б-р 4-1'!$G$38</f>
        <v>-4355.469999999999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'[1]Солнечный б-р 4-1'!$G$39</f>
        <v>76088.0309</v>
      </c>
      <c r="H15" s="62"/>
      <c r="I15" s="62"/>
    </row>
    <row r="16" s="67" customFormat="1" ht="15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169" customFormat="1" ht="14.25">
      <c r="A18" s="75" t="s">
        <v>14</v>
      </c>
      <c r="B18" s="41" t="s">
        <v>15</v>
      </c>
      <c r="C18" s="97">
        <f>SUM(C19:C23)</f>
        <v>13.84</v>
      </c>
      <c r="D18" s="76">
        <v>420226.23</v>
      </c>
      <c r="E18" s="76">
        <v>370309.3</v>
      </c>
      <c r="F18" s="76">
        <f aca="true" t="shared" si="0" ref="F18:F26">D18</f>
        <v>420226.23</v>
      </c>
      <c r="G18" s="77">
        <f aca="true" t="shared" si="1" ref="G18:G23">D18-E18</f>
        <v>49916.92999999999</v>
      </c>
      <c r="H18" s="78">
        <f aca="true" t="shared" si="2" ref="H18:H23">C18</f>
        <v>13.84</v>
      </c>
    </row>
    <row r="19" spans="1:9" s="67" customFormat="1" ht="15">
      <c r="A19" s="81" t="s">
        <v>16</v>
      </c>
      <c r="B19" s="34" t="s">
        <v>17</v>
      </c>
      <c r="C19" s="82">
        <v>3.46</v>
      </c>
      <c r="D19" s="83">
        <f>D18*I19</f>
        <v>105056.5575</v>
      </c>
      <c r="E19" s="83">
        <f>E18*I19</f>
        <v>92577.325</v>
      </c>
      <c r="F19" s="83">
        <f t="shared" si="0"/>
        <v>105056.5575</v>
      </c>
      <c r="G19" s="84">
        <f t="shared" si="1"/>
        <v>12479.232499999998</v>
      </c>
      <c r="H19" s="78">
        <f t="shared" si="2"/>
        <v>3.46</v>
      </c>
      <c r="I19" s="67">
        <f>H19/H18</f>
        <v>0.25</v>
      </c>
    </row>
    <row r="20" spans="1:9" s="67" customFormat="1" ht="15">
      <c r="A20" s="81" t="s">
        <v>18</v>
      </c>
      <c r="B20" s="34" t="s">
        <v>19</v>
      </c>
      <c r="C20" s="85">
        <v>1.69</v>
      </c>
      <c r="D20" s="83">
        <f>D18*I20</f>
        <v>51313.75207369942</v>
      </c>
      <c r="E20" s="83">
        <f>E18*I20</f>
        <v>45218.40440751445</v>
      </c>
      <c r="F20" s="83">
        <f t="shared" si="0"/>
        <v>51313.75207369942</v>
      </c>
      <c r="G20" s="84">
        <f t="shared" si="1"/>
        <v>6095.347666184971</v>
      </c>
      <c r="H20" s="78">
        <f t="shared" si="2"/>
        <v>1.69</v>
      </c>
      <c r="I20" s="67">
        <f>H20/H18</f>
        <v>0.12210982658959538</v>
      </c>
    </row>
    <row r="21" spans="1:9" s="67" customFormat="1" ht="15">
      <c r="A21" s="81" t="s">
        <v>20</v>
      </c>
      <c r="B21" s="34" t="s">
        <v>21</v>
      </c>
      <c r="C21" s="82">
        <v>2.15</v>
      </c>
      <c r="D21" s="83">
        <f>D18*I21</f>
        <v>65280.80885115606</v>
      </c>
      <c r="E21" s="83">
        <f>E18*I21</f>
        <v>57526.372471098264</v>
      </c>
      <c r="F21" s="83">
        <f t="shared" si="0"/>
        <v>65280.80885115606</v>
      </c>
      <c r="G21" s="84">
        <f t="shared" si="1"/>
        <v>7754.436380057799</v>
      </c>
      <c r="H21" s="78">
        <f t="shared" si="2"/>
        <v>2.15</v>
      </c>
      <c r="I21" s="67">
        <f>H21/H18</f>
        <v>0.15534682080924855</v>
      </c>
    </row>
    <row r="22" spans="1:9" s="67" customFormat="1" ht="15">
      <c r="A22" s="81" t="s">
        <v>22</v>
      </c>
      <c r="B22" s="34" t="s">
        <v>23</v>
      </c>
      <c r="C22" s="82">
        <v>3.04</v>
      </c>
      <c r="D22" s="83">
        <f>D18*I22</f>
        <v>92304.02739884393</v>
      </c>
      <c r="E22" s="83">
        <f>E18*I22</f>
        <v>81339.61502890174</v>
      </c>
      <c r="F22" s="83">
        <f t="shared" si="0"/>
        <v>92304.02739884393</v>
      </c>
      <c r="G22" s="84">
        <f t="shared" si="1"/>
        <v>10964.41236994219</v>
      </c>
      <c r="H22" s="78">
        <f t="shared" si="2"/>
        <v>3.04</v>
      </c>
      <c r="I22" s="67">
        <f>H22/H18</f>
        <v>0.21965317919075145</v>
      </c>
    </row>
    <row r="23" spans="1:9" s="67" customFormat="1" ht="15">
      <c r="A23" s="81" t="s">
        <v>24</v>
      </c>
      <c r="B23" s="34" t="s">
        <v>244</v>
      </c>
      <c r="C23" s="82">
        <v>3.5</v>
      </c>
      <c r="D23" s="83">
        <f>D18*I23</f>
        <v>106271.08417630059</v>
      </c>
      <c r="E23" s="83">
        <f>E18*I23</f>
        <v>93647.58309248555</v>
      </c>
      <c r="F23" s="83">
        <f>D23</f>
        <v>106271.08417630059</v>
      </c>
      <c r="G23" s="84">
        <f t="shared" si="1"/>
        <v>12623.501083815034</v>
      </c>
      <c r="H23" s="78">
        <f t="shared" si="2"/>
        <v>3.5</v>
      </c>
      <c r="I23" s="67">
        <f>H23/H18</f>
        <v>0.25289017341040465</v>
      </c>
    </row>
    <row r="24" spans="1:13" s="39" customFormat="1" ht="15">
      <c r="A24" s="41" t="s">
        <v>25</v>
      </c>
      <c r="B24" s="41" t="s">
        <v>26</v>
      </c>
      <c r="C24" s="97">
        <v>3.86</v>
      </c>
      <c r="D24" s="77">
        <v>109024.54</v>
      </c>
      <c r="E24" s="77">
        <v>109098.33</v>
      </c>
      <c r="F24" s="76">
        <f t="shared" si="0"/>
        <v>109024.54</v>
      </c>
      <c r="G24" s="77">
        <f aca="true" t="shared" si="3" ref="G24:G34">D24-E24</f>
        <v>-73.79000000000815</v>
      </c>
      <c r="M24" s="237"/>
    </row>
    <row r="25" spans="1:13" s="39" customFormat="1" ht="15">
      <c r="A25" s="41" t="s">
        <v>27</v>
      </c>
      <c r="B25" s="41" t="s">
        <v>168</v>
      </c>
      <c r="C25" s="97" t="s">
        <v>395</v>
      </c>
      <c r="D25" s="77">
        <v>0</v>
      </c>
      <c r="E25" s="77">
        <v>0</v>
      </c>
      <c r="F25" s="77">
        <f t="shared" si="0"/>
        <v>0</v>
      </c>
      <c r="G25" s="77">
        <f t="shared" si="3"/>
        <v>0</v>
      </c>
      <c r="M25" s="237"/>
    </row>
    <row r="26" spans="1:13" s="39" customFormat="1" ht="15">
      <c r="A26" s="41" t="s">
        <v>29</v>
      </c>
      <c r="B26" s="41" t="s">
        <v>30</v>
      </c>
      <c r="C26" s="97">
        <v>0</v>
      </c>
      <c r="D26" s="77">
        <v>0</v>
      </c>
      <c r="E26" s="77">
        <v>0</v>
      </c>
      <c r="F26" s="77">
        <f t="shared" si="0"/>
        <v>0</v>
      </c>
      <c r="G26" s="77">
        <f t="shared" si="3"/>
        <v>0</v>
      </c>
      <c r="M26" s="237"/>
    </row>
    <row r="27" spans="1:13" s="39" customFormat="1" ht="15">
      <c r="A27" s="41" t="s">
        <v>31</v>
      </c>
      <c r="B27" s="41" t="s">
        <v>119</v>
      </c>
      <c r="C27" s="97">
        <v>2.06</v>
      </c>
      <c r="D27" s="77">
        <v>58228.68</v>
      </c>
      <c r="E27" s="77">
        <v>58280.32</v>
      </c>
      <c r="F27" s="87">
        <f>F46</f>
        <v>1942.4932000000001</v>
      </c>
      <c r="G27" s="77">
        <f t="shared" si="3"/>
        <v>-51.63999999999942</v>
      </c>
      <c r="M27" s="237"/>
    </row>
    <row r="28" spans="1:13" s="39" customFormat="1" ht="15">
      <c r="A28" s="41" t="s">
        <v>33</v>
      </c>
      <c r="B28" s="41" t="s">
        <v>34</v>
      </c>
      <c r="C28" s="46"/>
      <c r="D28" s="77">
        <v>0</v>
      </c>
      <c r="E28" s="77">
        <v>2280.93</v>
      </c>
      <c r="F28" s="87">
        <v>0</v>
      </c>
      <c r="G28" s="77">
        <f t="shared" si="3"/>
        <v>-2280.93</v>
      </c>
      <c r="M28" s="237"/>
    </row>
    <row r="29" spans="1:13" s="39" customFormat="1" ht="15">
      <c r="A29" s="41" t="s">
        <v>35</v>
      </c>
      <c r="B29" s="41" t="s">
        <v>299</v>
      </c>
      <c r="C29" s="46">
        <v>60</v>
      </c>
      <c r="D29" s="77">
        <v>33120</v>
      </c>
      <c r="E29" s="77">
        <v>32921.17</v>
      </c>
      <c r="F29" s="87">
        <f>D29</f>
        <v>33120</v>
      </c>
      <c r="G29" s="77">
        <f t="shared" si="3"/>
        <v>198.83000000000175</v>
      </c>
      <c r="M29" s="237"/>
    </row>
    <row r="30" spans="1:13" s="39" customFormat="1" ht="15">
      <c r="A30" s="41" t="s">
        <v>211</v>
      </c>
      <c r="B30" s="41" t="s">
        <v>36</v>
      </c>
      <c r="C30" s="97">
        <f>SUM(C31:C34)</f>
        <v>0</v>
      </c>
      <c r="D30" s="77">
        <f>SUM(D31:D34)</f>
        <v>1545304.1</v>
      </c>
      <c r="E30" s="77">
        <f>SUM(E31:E34)</f>
        <v>1581500.32</v>
      </c>
      <c r="F30" s="77">
        <f>SUM(F31:F34)</f>
        <v>1545304.1</v>
      </c>
      <c r="G30" s="77">
        <f t="shared" si="3"/>
        <v>-36196.21999999997</v>
      </c>
      <c r="M30" s="237"/>
    </row>
    <row r="31" spans="1:7" ht="15">
      <c r="A31" s="34" t="s">
        <v>213</v>
      </c>
      <c r="B31" s="34" t="s">
        <v>180</v>
      </c>
      <c r="C31" s="301" t="s">
        <v>379</v>
      </c>
      <c r="D31" s="84">
        <v>424360.32</v>
      </c>
      <c r="E31" s="84">
        <v>452024.2</v>
      </c>
      <c r="F31" s="84">
        <f>D31</f>
        <v>424360.32</v>
      </c>
      <c r="G31" s="84">
        <f t="shared" si="3"/>
        <v>-27663.880000000005</v>
      </c>
    </row>
    <row r="32" spans="1:7" ht="15">
      <c r="A32" s="34" t="s">
        <v>214</v>
      </c>
      <c r="B32" s="34" t="s">
        <v>142</v>
      </c>
      <c r="C32" s="293" t="s">
        <v>382</v>
      </c>
      <c r="D32" s="84">
        <v>166028.04</v>
      </c>
      <c r="E32" s="84">
        <v>161951.63</v>
      </c>
      <c r="F32" s="84">
        <f>D32</f>
        <v>166028.04</v>
      </c>
      <c r="G32" s="84">
        <f t="shared" si="3"/>
        <v>4076.4100000000035</v>
      </c>
    </row>
    <row r="33" spans="1:13" ht="15">
      <c r="A33" s="34" t="s">
        <v>215</v>
      </c>
      <c r="B33" s="34" t="s">
        <v>143</v>
      </c>
      <c r="C33" s="294" t="s">
        <v>431</v>
      </c>
      <c r="D33" s="84">
        <v>263647.25</v>
      </c>
      <c r="E33" s="84">
        <v>253886.37</v>
      </c>
      <c r="F33" s="84">
        <f>D33</f>
        <v>263647.25</v>
      </c>
      <c r="G33" s="84">
        <f t="shared" si="3"/>
        <v>9760.880000000005</v>
      </c>
      <c r="M33" s="36"/>
    </row>
    <row r="34" spans="1:13" ht="15">
      <c r="A34" s="34" t="s">
        <v>216</v>
      </c>
      <c r="B34" s="34" t="s">
        <v>43</v>
      </c>
      <c r="C34" s="293" t="s">
        <v>427</v>
      </c>
      <c r="D34" s="84">
        <v>691268.49</v>
      </c>
      <c r="E34" s="84">
        <v>713638.12</v>
      </c>
      <c r="F34" s="84">
        <f>D34</f>
        <v>691268.49</v>
      </c>
      <c r="G34" s="84">
        <f t="shared" si="3"/>
        <v>-22369.630000000005</v>
      </c>
      <c r="M34" s="36"/>
    </row>
    <row r="35" spans="1:13" ht="15.75" thickBot="1">
      <c r="A35" s="363" t="s">
        <v>378</v>
      </c>
      <c r="B35" s="364"/>
      <c r="C35" s="364"/>
      <c r="D35" s="365"/>
      <c r="E35" s="365"/>
      <c r="F35" s="365"/>
      <c r="G35" s="172"/>
      <c r="M35" s="36"/>
    </row>
    <row r="36" spans="1:9" s="67" customFormat="1" ht="15.75" thickBot="1">
      <c r="A36" s="378" t="s">
        <v>383</v>
      </c>
      <c r="B36" s="379"/>
      <c r="C36" s="379"/>
      <c r="D36" s="65">
        <v>666273.73</v>
      </c>
      <c r="E36" s="66"/>
      <c r="F36" s="66"/>
      <c r="G36" s="66"/>
      <c r="H36" s="62"/>
      <c r="I36" s="62"/>
    </row>
    <row r="37" spans="1:9" s="67" customFormat="1" ht="9.75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13" s="67" customFormat="1" ht="15.75" thickBot="1">
      <c r="A38" s="63" t="s">
        <v>386</v>
      </c>
      <c r="B38" s="64"/>
      <c r="C38" s="64"/>
      <c r="D38" s="69"/>
      <c r="E38" s="70"/>
      <c r="F38" s="70"/>
      <c r="G38" s="146">
        <f>G14+E28-F28</f>
        <v>-2074.5399999999995</v>
      </c>
      <c r="H38" s="62"/>
      <c r="I38" s="62"/>
      <c r="M38" s="147"/>
    </row>
    <row r="39" spans="1:13" s="67" customFormat="1" ht="15.75" thickBot="1">
      <c r="A39" s="63" t="s">
        <v>387</v>
      </c>
      <c r="B39" s="64"/>
      <c r="C39" s="64"/>
      <c r="D39" s="69"/>
      <c r="E39" s="70"/>
      <c r="F39" s="70"/>
      <c r="G39" s="146">
        <f>G15+E27-F27</f>
        <v>132425.8577</v>
      </c>
      <c r="H39" s="62"/>
      <c r="I39" s="62"/>
      <c r="M39" s="147"/>
    </row>
    <row r="40" spans="1:9" s="67" customFormat="1" ht="15">
      <c r="A40" s="486" t="s">
        <v>149</v>
      </c>
      <c r="B40" s="486"/>
      <c r="C40" s="68"/>
      <c r="D40" s="40"/>
      <c r="E40" s="66"/>
      <c r="F40" s="66"/>
      <c r="G40" s="40"/>
      <c r="H40" s="62"/>
      <c r="I40" s="62"/>
    </row>
    <row r="41" spans="1:9" s="67" customFormat="1" ht="15">
      <c r="A41" s="429" t="s">
        <v>150</v>
      </c>
      <c r="B41" s="430"/>
      <c r="C41" s="322" t="s">
        <v>151</v>
      </c>
      <c r="D41" s="322" t="s">
        <v>152</v>
      </c>
      <c r="E41" s="323" t="s">
        <v>153</v>
      </c>
      <c r="F41" s="324" t="s">
        <v>154</v>
      </c>
      <c r="G41" s="323" t="s">
        <v>155</v>
      </c>
      <c r="H41" s="62"/>
      <c r="I41" s="62"/>
    </row>
    <row r="42" spans="1:9" s="67" customFormat="1" ht="15">
      <c r="A42" s="431"/>
      <c r="B42" s="432"/>
      <c r="C42" s="302">
        <f>233.4-106.3</f>
        <v>127.10000000000001</v>
      </c>
      <c r="D42" s="325">
        <f>E42/12/C42</f>
        <v>16.06669289273538</v>
      </c>
      <c r="E42" s="327">
        <v>24504.92</v>
      </c>
      <c r="F42" s="327">
        <v>31126.23</v>
      </c>
      <c r="G42" s="325">
        <f>E42-F42</f>
        <v>-6621.310000000001</v>
      </c>
      <c r="H42" s="62"/>
      <c r="I42" s="306">
        <f>C42</f>
        <v>127.10000000000001</v>
      </c>
    </row>
    <row r="43" spans="1:9" ht="35.25" customHeight="1">
      <c r="A43" s="433" t="s">
        <v>44</v>
      </c>
      <c r="B43" s="433"/>
      <c r="C43" s="433"/>
      <c r="D43" s="433"/>
      <c r="E43" s="433"/>
      <c r="F43" s="433"/>
      <c r="G43" s="433"/>
      <c r="H43" s="433"/>
      <c r="I43" s="433"/>
    </row>
    <row r="45" spans="1:7" s="173" customFormat="1" ht="28.5" customHeight="1">
      <c r="A45" s="105" t="s">
        <v>11</v>
      </c>
      <c r="B45" s="394" t="s">
        <v>45</v>
      </c>
      <c r="C45" s="405"/>
      <c r="D45" s="105" t="s">
        <v>170</v>
      </c>
      <c r="E45" s="105" t="s">
        <v>169</v>
      </c>
      <c r="F45" s="394" t="s">
        <v>46</v>
      </c>
      <c r="G45" s="405"/>
    </row>
    <row r="46" spans="1:7" s="115" customFormat="1" ht="15">
      <c r="A46" s="109" t="s">
        <v>47</v>
      </c>
      <c r="B46" s="396" t="s">
        <v>114</v>
      </c>
      <c r="C46" s="399"/>
      <c r="D46" s="111"/>
      <c r="E46" s="111"/>
      <c r="F46" s="411">
        <f>SUM(F47:L50)</f>
        <v>1942.4932000000001</v>
      </c>
      <c r="G46" s="404"/>
    </row>
    <row r="47" spans="1:13" ht="15" customHeight="1">
      <c r="A47" s="34" t="s">
        <v>16</v>
      </c>
      <c r="B47" s="369" t="s">
        <v>624</v>
      </c>
      <c r="C47" s="371"/>
      <c r="D47" s="119" t="s">
        <v>241</v>
      </c>
      <c r="E47" s="119">
        <v>0.01</v>
      </c>
      <c r="F47" s="420">
        <v>255.62</v>
      </c>
      <c r="G47" s="421"/>
      <c r="M47" s="35"/>
    </row>
    <row r="48" spans="1:13" ht="15" customHeight="1">
      <c r="A48" s="34" t="s">
        <v>18</v>
      </c>
      <c r="B48" s="369" t="s">
        <v>617</v>
      </c>
      <c r="C48" s="371"/>
      <c r="D48" s="119" t="s">
        <v>241</v>
      </c>
      <c r="E48" s="119">
        <v>0.01</v>
      </c>
      <c r="F48" s="410">
        <v>1104.07</v>
      </c>
      <c r="G48" s="410"/>
      <c r="M48" s="35"/>
    </row>
    <row r="49" spans="1:13" ht="15" customHeight="1">
      <c r="A49" s="34" t="s">
        <v>20</v>
      </c>
      <c r="B49" s="369"/>
      <c r="C49" s="371"/>
      <c r="D49" s="119"/>
      <c r="E49" s="119"/>
      <c r="F49" s="410"/>
      <c r="G49" s="410"/>
      <c r="M49" s="35"/>
    </row>
    <row r="50" spans="1:13" ht="15">
      <c r="A50" s="34" t="s">
        <v>22</v>
      </c>
      <c r="B50" s="150" t="s">
        <v>198</v>
      </c>
      <c r="C50" s="151"/>
      <c r="D50" s="119"/>
      <c r="E50" s="119"/>
      <c r="F50" s="410">
        <f>E27*1%</f>
        <v>582.8032000000001</v>
      </c>
      <c r="G50" s="410"/>
      <c r="M50" s="35"/>
    </row>
    <row r="51" spans="1:13" ht="15">
      <c r="A51" s="67"/>
      <c r="B51" s="67"/>
      <c r="C51" s="67"/>
      <c r="D51" s="67"/>
      <c r="E51" s="67"/>
      <c r="F51" s="67"/>
      <c r="G51" s="67"/>
      <c r="M51" s="35"/>
    </row>
    <row r="52" spans="1:13" ht="15">
      <c r="A52" s="67" t="s">
        <v>55</v>
      </c>
      <c r="B52" s="67"/>
      <c r="C52" s="67" t="s">
        <v>49</v>
      </c>
      <c r="D52" s="67"/>
      <c r="E52" s="67"/>
      <c r="F52" s="67" t="s">
        <v>93</v>
      </c>
      <c r="G52" s="67"/>
      <c r="M52" s="35"/>
    </row>
    <row r="53" spans="1:13" ht="15">
      <c r="A53" s="67"/>
      <c r="B53" s="67"/>
      <c r="C53" s="67"/>
      <c r="D53" s="67"/>
      <c r="E53" s="67"/>
      <c r="F53" s="128" t="s">
        <v>516</v>
      </c>
      <c r="G53" s="67"/>
      <c r="M53" s="35"/>
    </row>
    <row r="54" s="67" customFormat="1" ht="15">
      <c r="A54" s="67" t="s">
        <v>50</v>
      </c>
    </row>
    <row r="55" spans="3:7" s="67" customFormat="1" ht="15">
      <c r="C55" s="130" t="s">
        <v>51</v>
      </c>
      <c r="E55" s="130"/>
      <c r="F55" s="130"/>
      <c r="G55" s="130"/>
    </row>
    <row r="56" s="67" customFormat="1" ht="15"/>
    <row r="57" s="67" customFormat="1" ht="15"/>
  </sheetData>
  <sheetProtection/>
  <mergeCells count="23">
    <mergeCell ref="F50:G50"/>
    <mergeCell ref="F47:G47"/>
    <mergeCell ref="F48:G48"/>
    <mergeCell ref="B47:C47"/>
    <mergeCell ref="B48:C48"/>
    <mergeCell ref="F46:G46"/>
    <mergeCell ref="B49:C49"/>
    <mergeCell ref="B46:C46"/>
    <mergeCell ref="F49:G49"/>
    <mergeCell ref="A12:I12"/>
    <mergeCell ref="A36:C36"/>
    <mergeCell ref="A43:I43"/>
    <mergeCell ref="F45:G45"/>
    <mergeCell ref="B45:C45"/>
    <mergeCell ref="A40:B40"/>
    <mergeCell ref="A41:B42"/>
    <mergeCell ref="A35:F35"/>
    <mergeCell ref="A11:I11"/>
    <mergeCell ref="A1:I1"/>
    <mergeCell ref="A2:I2"/>
    <mergeCell ref="A3:K3"/>
    <mergeCell ref="A5:I5"/>
    <mergeCell ref="A10:I10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7030A0"/>
  </sheetPr>
  <dimension ref="A1:M57"/>
  <sheetViews>
    <sheetView zoomScalePageLayoutView="0" workbookViewId="0" topLeftCell="A25">
      <selection activeCell="G36" sqref="G36"/>
    </sheetView>
  </sheetViews>
  <sheetFormatPr defaultColWidth="9.140625" defaultRowHeight="15" outlineLevelCol="1"/>
  <cols>
    <col min="1" max="1" width="5.00390625" style="35" customWidth="1"/>
    <col min="2" max="2" width="48.28125" style="35" customWidth="1"/>
    <col min="3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235" bestFit="1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15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7" spans="1:6" s="67" customFormat="1" ht="15">
      <c r="A7" s="67" t="s">
        <v>2</v>
      </c>
      <c r="F7" s="128" t="s">
        <v>140</v>
      </c>
    </row>
    <row r="8" spans="1:11" s="67" customFormat="1" ht="15">
      <c r="A8" s="67" t="s">
        <v>3</v>
      </c>
      <c r="F8" s="299" t="s">
        <v>434</v>
      </c>
      <c r="I8" s="317">
        <f>J8+K8</f>
        <v>5660.5</v>
      </c>
      <c r="J8" s="317">
        <v>126.8</v>
      </c>
      <c r="K8" s="317">
        <v>5533.7</v>
      </c>
    </row>
    <row r="9" s="67" customFormat="1" ht="15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15.75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313</v>
      </c>
      <c r="B14" s="64"/>
      <c r="C14" s="64"/>
      <c r="D14" s="69"/>
      <c r="E14" s="70"/>
      <c r="F14" s="70"/>
      <c r="G14" s="65">
        <f>'[1]Солнечный б-р 4-2'!$G$37</f>
        <v>-226594.16850000003</v>
      </c>
      <c r="H14" s="62"/>
      <c r="I14" s="62"/>
    </row>
    <row r="15" s="67" customFormat="1" ht="15"/>
    <row r="16" spans="1:7" s="74" customFormat="1" ht="38.25">
      <c r="A16" s="72" t="s">
        <v>11</v>
      </c>
      <c r="B16" s="72" t="s">
        <v>12</v>
      </c>
      <c r="C16" s="72" t="s">
        <v>94</v>
      </c>
      <c r="D16" s="72" t="s">
        <v>374</v>
      </c>
      <c r="E16" s="72" t="s">
        <v>375</v>
      </c>
      <c r="F16" s="73" t="s">
        <v>376</v>
      </c>
      <c r="G16" s="72" t="s">
        <v>377</v>
      </c>
    </row>
    <row r="17" spans="1:8" s="169" customFormat="1" ht="14.25">
      <c r="A17" s="75" t="s">
        <v>14</v>
      </c>
      <c r="B17" s="41" t="s">
        <v>15</v>
      </c>
      <c r="C17" s="97">
        <f>SUM(C18:C22)</f>
        <v>13.84</v>
      </c>
      <c r="D17" s="76">
        <v>966599.91</v>
      </c>
      <c r="E17" s="76">
        <v>886520.08</v>
      </c>
      <c r="F17" s="76">
        <f aca="true" t="shared" si="0" ref="F17:F25">D17</f>
        <v>966599.91</v>
      </c>
      <c r="G17" s="77">
        <f aca="true" t="shared" si="1" ref="G17:G22">D17-E17</f>
        <v>80079.83000000007</v>
      </c>
      <c r="H17" s="138">
        <f>C17</f>
        <v>13.84</v>
      </c>
    </row>
    <row r="18" spans="1:9" s="67" customFormat="1" ht="15">
      <c r="A18" s="81" t="s">
        <v>16</v>
      </c>
      <c r="B18" s="34" t="s">
        <v>17</v>
      </c>
      <c r="C18" s="82">
        <v>3.46</v>
      </c>
      <c r="D18" s="83">
        <f>D17*I18</f>
        <v>241649.9775</v>
      </c>
      <c r="E18" s="83">
        <f>E17*I18</f>
        <v>221630.02</v>
      </c>
      <c r="F18" s="83">
        <f t="shared" si="0"/>
        <v>241649.9775</v>
      </c>
      <c r="G18" s="84">
        <f t="shared" si="1"/>
        <v>20019.95750000002</v>
      </c>
      <c r="H18" s="78">
        <f>C18</f>
        <v>3.46</v>
      </c>
      <c r="I18" s="67">
        <f>H18/H17</f>
        <v>0.25</v>
      </c>
    </row>
    <row r="19" spans="1:9" s="67" customFormat="1" ht="15">
      <c r="A19" s="81" t="s">
        <v>18</v>
      </c>
      <c r="B19" s="34" t="s">
        <v>19</v>
      </c>
      <c r="C19" s="85">
        <v>1.69</v>
      </c>
      <c r="D19" s="83">
        <f>D17*I19</f>
        <v>118031.3473916185</v>
      </c>
      <c r="E19" s="83">
        <f>E17*I19</f>
        <v>108252.81323699422</v>
      </c>
      <c r="F19" s="83">
        <f t="shared" si="0"/>
        <v>118031.3473916185</v>
      </c>
      <c r="G19" s="84">
        <f t="shared" si="1"/>
        <v>9778.534154624285</v>
      </c>
      <c r="H19" s="78">
        <f>C19</f>
        <v>1.69</v>
      </c>
      <c r="I19" s="67">
        <f>H19/H17</f>
        <v>0.12210982658959538</v>
      </c>
    </row>
    <row r="20" spans="1:9" s="67" customFormat="1" ht="15">
      <c r="A20" s="81" t="s">
        <v>20</v>
      </c>
      <c r="B20" s="34" t="s">
        <v>21</v>
      </c>
      <c r="C20" s="82">
        <v>2.15</v>
      </c>
      <c r="D20" s="83">
        <f>D17*I20</f>
        <v>150158.22301300577</v>
      </c>
      <c r="E20" s="83">
        <f>E17*I20</f>
        <v>137718.07601156068</v>
      </c>
      <c r="F20" s="83">
        <f t="shared" si="0"/>
        <v>150158.22301300577</v>
      </c>
      <c r="G20" s="84">
        <f t="shared" si="1"/>
        <v>12440.14700144509</v>
      </c>
      <c r="H20" s="78">
        <f>C20</f>
        <v>2.15</v>
      </c>
      <c r="I20" s="67">
        <f>H20/H17</f>
        <v>0.15534682080924855</v>
      </c>
    </row>
    <row r="21" spans="1:9" s="67" customFormat="1" ht="15">
      <c r="A21" s="81" t="s">
        <v>22</v>
      </c>
      <c r="B21" s="34" t="s">
        <v>23</v>
      </c>
      <c r="C21" s="82">
        <v>3.04</v>
      </c>
      <c r="D21" s="83">
        <f>D17*I21</f>
        <v>212316.74323699423</v>
      </c>
      <c r="E21" s="83">
        <f>E17*I21</f>
        <v>194726.9539884393</v>
      </c>
      <c r="F21" s="83">
        <f t="shared" si="0"/>
        <v>212316.74323699423</v>
      </c>
      <c r="G21" s="84">
        <f t="shared" si="1"/>
        <v>17589.78924855494</v>
      </c>
      <c r="H21" s="78">
        <f>C21</f>
        <v>3.04</v>
      </c>
      <c r="I21" s="67">
        <f>H21/H17</f>
        <v>0.21965317919075145</v>
      </c>
    </row>
    <row r="22" spans="1:9" s="67" customFormat="1" ht="15">
      <c r="A22" s="81" t="s">
        <v>24</v>
      </c>
      <c r="B22" s="34" t="s">
        <v>244</v>
      </c>
      <c r="C22" s="82">
        <v>3.5</v>
      </c>
      <c r="D22" s="83">
        <f>D17*I22</f>
        <v>235364.28444364166</v>
      </c>
      <c r="E22" s="83">
        <f>E17*I22</f>
        <v>215865.077283237</v>
      </c>
      <c r="F22" s="83">
        <f t="shared" si="0"/>
        <v>235364.28444364166</v>
      </c>
      <c r="G22" s="84">
        <f t="shared" si="1"/>
        <v>19499.20716040465</v>
      </c>
      <c r="H22" s="78">
        <v>3.37</v>
      </c>
      <c r="I22" s="67">
        <f>H22/H17</f>
        <v>0.24349710982658962</v>
      </c>
    </row>
    <row r="23" spans="1:13" s="39" customFormat="1" ht="15">
      <c r="A23" s="41" t="s">
        <v>25</v>
      </c>
      <c r="B23" s="41" t="s">
        <v>26</v>
      </c>
      <c r="C23" s="97">
        <v>3.86</v>
      </c>
      <c r="D23" s="77">
        <v>260810.85</v>
      </c>
      <c r="E23" s="77">
        <v>247058.21</v>
      </c>
      <c r="F23" s="76">
        <f t="shared" si="0"/>
        <v>260810.85</v>
      </c>
      <c r="G23" s="77">
        <f aca="true" t="shared" si="2" ref="G23:G32">D23-E23</f>
        <v>13752.640000000014</v>
      </c>
      <c r="M23" s="237"/>
    </row>
    <row r="24" spans="1:13" s="39" customFormat="1" ht="15">
      <c r="A24" s="41" t="s">
        <v>27</v>
      </c>
      <c r="B24" s="41" t="s">
        <v>28</v>
      </c>
      <c r="C24" s="97"/>
      <c r="D24" s="77">
        <v>0</v>
      </c>
      <c r="E24" s="77">
        <v>0</v>
      </c>
      <c r="F24" s="77">
        <f t="shared" si="0"/>
        <v>0</v>
      </c>
      <c r="G24" s="77">
        <f t="shared" si="2"/>
        <v>0</v>
      </c>
      <c r="M24" s="237"/>
    </row>
    <row r="25" spans="1:13" s="39" customFormat="1" ht="15">
      <c r="A25" s="41" t="s">
        <v>29</v>
      </c>
      <c r="B25" s="41" t="s">
        <v>30</v>
      </c>
      <c r="C25" s="97">
        <v>0</v>
      </c>
      <c r="D25" s="77">
        <v>0</v>
      </c>
      <c r="E25" s="77">
        <v>0</v>
      </c>
      <c r="F25" s="77">
        <f t="shared" si="0"/>
        <v>0</v>
      </c>
      <c r="G25" s="77">
        <f t="shared" si="2"/>
        <v>0</v>
      </c>
      <c r="M25" s="237"/>
    </row>
    <row r="26" spans="1:13" s="39" customFormat="1" ht="15">
      <c r="A26" s="41" t="s">
        <v>31</v>
      </c>
      <c r="B26" s="41" t="s">
        <v>119</v>
      </c>
      <c r="C26" s="97">
        <v>2.06</v>
      </c>
      <c r="D26" s="77">
        <v>139352.05</v>
      </c>
      <c r="E26" s="77">
        <v>132014.36</v>
      </c>
      <c r="F26" s="87">
        <f>F43</f>
        <v>99303.6836</v>
      </c>
      <c r="G26" s="77">
        <f t="shared" si="2"/>
        <v>7337.690000000002</v>
      </c>
      <c r="M26" s="240"/>
    </row>
    <row r="27" spans="1:13" s="39" customFormat="1" ht="15">
      <c r="A27" s="41" t="s">
        <v>33</v>
      </c>
      <c r="B27" s="41" t="s">
        <v>168</v>
      </c>
      <c r="C27" s="46" t="s">
        <v>395</v>
      </c>
      <c r="D27" s="77">
        <v>0</v>
      </c>
      <c r="E27" s="77">
        <v>0</v>
      </c>
      <c r="F27" s="87">
        <f>D27</f>
        <v>0</v>
      </c>
      <c r="G27" s="77">
        <f t="shared" si="2"/>
        <v>0</v>
      </c>
      <c r="M27" s="237"/>
    </row>
    <row r="28" spans="1:13" s="39" customFormat="1" ht="15">
      <c r="A28" s="41" t="s">
        <v>35</v>
      </c>
      <c r="B28" s="41" t="s">
        <v>36</v>
      </c>
      <c r="C28" s="97">
        <f>SUM(C29:C32)</f>
        <v>0</v>
      </c>
      <c r="D28" s="77">
        <f>SUM(D29:D32)</f>
        <v>3860115.58</v>
      </c>
      <c r="E28" s="77">
        <f>SUM(E29:E32)</f>
        <v>3758817.55</v>
      </c>
      <c r="F28" s="77">
        <f>SUM(F29:F32)</f>
        <v>2120084.91</v>
      </c>
      <c r="G28" s="77">
        <f t="shared" si="2"/>
        <v>101298.03000000026</v>
      </c>
      <c r="M28" s="237"/>
    </row>
    <row r="29" spans="1:7" ht="15">
      <c r="A29" s="34" t="s">
        <v>37</v>
      </c>
      <c r="B29" s="34" t="s">
        <v>180</v>
      </c>
      <c r="C29" s="301" t="s">
        <v>379</v>
      </c>
      <c r="D29" s="84">
        <v>1113646.39</v>
      </c>
      <c r="E29" s="84">
        <v>1029775.07</v>
      </c>
      <c r="F29" s="84">
        <f>D29</f>
        <v>1113646.39</v>
      </c>
      <c r="G29" s="84">
        <f t="shared" si="2"/>
        <v>83871.31999999995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350605.84</v>
      </c>
      <c r="E30" s="84">
        <v>362428.15</v>
      </c>
      <c r="F30" s="84">
        <f>D30</f>
        <v>350605.84</v>
      </c>
      <c r="G30" s="84">
        <f t="shared" si="2"/>
        <v>-11822.309999999998</v>
      </c>
    </row>
    <row r="31" spans="1:7" ht="15">
      <c r="A31" s="34" t="s">
        <v>42</v>
      </c>
      <c r="B31" s="34" t="s">
        <v>143</v>
      </c>
      <c r="C31" s="294" t="s">
        <v>431</v>
      </c>
      <c r="D31" s="84">
        <v>617698.28</v>
      </c>
      <c r="E31" s="84">
        <v>633914.18</v>
      </c>
      <c r="F31" s="84">
        <f>D31</f>
        <v>617698.28</v>
      </c>
      <c r="G31" s="84">
        <f t="shared" si="2"/>
        <v>-16215.900000000023</v>
      </c>
    </row>
    <row r="32" spans="1:7" ht="15">
      <c r="A32" s="34" t="s">
        <v>41</v>
      </c>
      <c r="B32" s="34" t="s">
        <v>43</v>
      </c>
      <c r="C32" s="293" t="s">
        <v>427</v>
      </c>
      <c r="D32" s="84">
        <v>1778165.07</v>
      </c>
      <c r="E32" s="84">
        <v>1732700.15</v>
      </c>
      <c r="F32" s="84">
        <v>38134.4</v>
      </c>
      <c r="G32" s="84">
        <f t="shared" si="2"/>
        <v>45464.92000000016</v>
      </c>
    </row>
    <row r="33" spans="1:10" s="102" customFormat="1" ht="15.75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65">
        <v>1144164.9</v>
      </c>
      <c r="E34" s="66"/>
      <c r="F34" s="66"/>
      <c r="G34" s="66"/>
      <c r="H34" s="62"/>
      <c r="I34" s="62"/>
    </row>
    <row r="35" spans="1:9" s="67" customFormat="1" ht="9.7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387</v>
      </c>
      <c r="B36" s="64"/>
      <c r="C36" s="64"/>
      <c r="D36" s="69"/>
      <c r="E36" s="70"/>
      <c r="F36" s="70"/>
      <c r="G36" s="146">
        <f>G14+E26-F26</f>
        <v>-193883.49210000003</v>
      </c>
      <c r="H36" s="62"/>
      <c r="I36" s="62"/>
    </row>
    <row r="37" spans="1:9" s="67" customFormat="1" ht="15">
      <c r="A37" s="486" t="s">
        <v>149</v>
      </c>
      <c r="B37" s="486"/>
      <c r="C37" s="68"/>
      <c r="D37" s="40"/>
      <c r="E37" s="66"/>
      <c r="F37" s="66"/>
      <c r="G37" s="40"/>
      <c r="H37" s="62"/>
      <c r="I37" s="62"/>
    </row>
    <row r="38" spans="1:9" s="67" customFormat="1" ht="15">
      <c r="A38" s="449" t="s">
        <v>150</v>
      </c>
      <c r="B38" s="450"/>
      <c r="C38" s="44" t="s">
        <v>151</v>
      </c>
      <c r="D38" s="44" t="s">
        <v>152</v>
      </c>
      <c r="E38" s="45" t="s">
        <v>153</v>
      </c>
      <c r="F38" s="42" t="s">
        <v>154</v>
      </c>
      <c r="G38" s="45" t="s">
        <v>155</v>
      </c>
      <c r="H38" s="62"/>
      <c r="I38" s="62"/>
    </row>
    <row r="39" spans="1:9" s="67" customFormat="1" ht="15">
      <c r="A39" s="451"/>
      <c r="B39" s="452"/>
      <c r="C39" s="302">
        <v>101</v>
      </c>
      <c r="D39" s="155">
        <f>E39/C39/12</f>
        <v>16.066666666666666</v>
      </c>
      <c r="E39" s="241">
        <v>19472.8</v>
      </c>
      <c r="F39" s="241">
        <v>20997.9</v>
      </c>
      <c r="G39" s="155">
        <f>E39-F39</f>
        <v>-1525.1000000000022</v>
      </c>
      <c r="H39" s="62"/>
      <c r="I39" s="307">
        <f>C39</f>
        <v>101</v>
      </c>
    </row>
    <row r="40" spans="1:9" ht="35.25" customHeight="1">
      <c r="A40" s="433" t="s">
        <v>44</v>
      </c>
      <c r="B40" s="433"/>
      <c r="C40" s="433"/>
      <c r="D40" s="433"/>
      <c r="E40" s="433"/>
      <c r="F40" s="433"/>
      <c r="G40" s="433"/>
      <c r="H40" s="433"/>
      <c r="I40" s="433"/>
    </row>
    <row r="42" spans="1:7" s="173" customFormat="1" ht="28.5" customHeight="1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5"/>
    </row>
    <row r="43" spans="1:7" s="115" customFormat="1" ht="15">
      <c r="A43" s="109" t="s">
        <v>47</v>
      </c>
      <c r="B43" s="396" t="s">
        <v>114</v>
      </c>
      <c r="C43" s="399"/>
      <c r="D43" s="111"/>
      <c r="E43" s="111"/>
      <c r="F43" s="411">
        <f>SUM(F44:G51)</f>
        <v>99303.6836</v>
      </c>
      <c r="G43" s="404"/>
    </row>
    <row r="44" spans="1:13" ht="15" customHeight="1">
      <c r="A44" s="34" t="s">
        <v>16</v>
      </c>
      <c r="B44" s="369" t="s">
        <v>625</v>
      </c>
      <c r="C44" s="371"/>
      <c r="D44" s="119" t="s">
        <v>248</v>
      </c>
      <c r="E44" s="215">
        <v>1</v>
      </c>
      <c r="F44" s="420">
        <v>23436.5</v>
      </c>
      <c r="G44" s="421"/>
      <c r="M44" s="35"/>
    </row>
    <row r="45" spans="1:13" ht="15" customHeight="1">
      <c r="A45" s="34" t="s">
        <v>18</v>
      </c>
      <c r="B45" s="369" t="s">
        <v>610</v>
      </c>
      <c r="C45" s="371"/>
      <c r="D45" s="119" t="s">
        <v>241</v>
      </c>
      <c r="E45" s="119">
        <v>0.02</v>
      </c>
      <c r="F45" s="410">
        <v>7400</v>
      </c>
      <c r="G45" s="410"/>
      <c r="M45" s="35"/>
    </row>
    <row r="46" spans="1:13" ht="15" customHeight="1">
      <c r="A46" s="34" t="s">
        <v>20</v>
      </c>
      <c r="B46" s="369" t="s">
        <v>626</v>
      </c>
      <c r="C46" s="370"/>
      <c r="D46" s="119" t="s">
        <v>240</v>
      </c>
      <c r="E46" s="215">
        <v>0.01</v>
      </c>
      <c r="F46" s="410">
        <v>380.8</v>
      </c>
      <c r="G46" s="410"/>
      <c r="M46" s="35"/>
    </row>
    <row r="47" spans="1:13" ht="15" customHeight="1">
      <c r="A47" s="34" t="s">
        <v>22</v>
      </c>
      <c r="B47" s="369" t="s">
        <v>776</v>
      </c>
      <c r="C47" s="370"/>
      <c r="D47" s="119" t="s">
        <v>248</v>
      </c>
      <c r="E47" s="215">
        <v>4</v>
      </c>
      <c r="F47" s="410">
        <v>46938.08</v>
      </c>
      <c r="G47" s="410"/>
      <c r="M47" s="35"/>
    </row>
    <row r="48" spans="1:13" ht="15" customHeight="1">
      <c r="A48" s="34" t="s">
        <v>24</v>
      </c>
      <c r="B48" s="369" t="s">
        <v>776</v>
      </c>
      <c r="C48" s="370"/>
      <c r="D48" s="119" t="s">
        <v>248</v>
      </c>
      <c r="E48" s="215">
        <v>2</v>
      </c>
      <c r="F48" s="410">
        <v>2928.16</v>
      </c>
      <c r="G48" s="410"/>
      <c r="M48" s="35"/>
    </row>
    <row r="49" spans="1:13" ht="15" customHeight="1">
      <c r="A49" s="34" t="s">
        <v>106</v>
      </c>
      <c r="B49" s="369" t="s">
        <v>762</v>
      </c>
      <c r="C49" s="370"/>
      <c r="D49" s="119" t="s">
        <v>248</v>
      </c>
      <c r="E49" s="119">
        <v>1</v>
      </c>
      <c r="F49" s="410">
        <v>700</v>
      </c>
      <c r="G49" s="410"/>
      <c r="M49" s="35"/>
    </row>
    <row r="50" spans="1:13" ht="15" customHeight="1">
      <c r="A50" s="34" t="s">
        <v>107</v>
      </c>
      <c r="B50" s="369" t="s">
        <v>786</v>
      </c>
      <c r="C50" s="370"/>
      <c r="D50" s="119"/>
      <c r="E50" s="119"/>
      <c r="F50" s="410">
        <v>16200</v>
      </c>
      <c r="G50" s="410"/>
      <c r="M50" s="35"/>
    </row>
    <row r="51" spans="1:13" ht="15" customHeight="1">
      <c r="A51" s="34" t="s">
        <v>120</v>
      </c>
      <c r="B51" s="423" t="s">
        <v>198</v>
      </c>
      <c r="C51" s="500"/>
      <c r="D51" s="125"/>
      <c r="E51" s="125"/>
      <c r="F51" s="410">
        <f>E26*1%</f>
        <v>1320.1435999999999</v>
      </c>
      <c r="G51" s="410"/>
      <c r="M51" s="35"/>
    </row>
    <row r="52" spans="1:13" ht="15">
      <c r="A52" s="170"/>
      <c r="B52" s="93"/>
      <c r="C52" s="93"/>
      <c r="D52" s="93"/>
      <c r="E52" s="93"/>
      <c r="F52" s="183"/>
      <c r="G52" s="183"/>
      <c r="M52" s="35"/>
    </row>
    <row r="53" s="67" customFormat="1" ht="15"/>
    <row r="54" spans="1:6" s="67" customFormat="1" ht="15">
      <c r="A54" s="67" t="s">
        <v>55</v>
      </c>
      <c r="C54" s="67" t="s">
        <v>49</v>
      </c>
      <c r="F54" s="67" t="s">
        <v>93</v>
      </c>
    </row>
    <row r="55" s="67" customFormat="1" ht="15">
      <c r="F55" s="128" t="s">
        <v>516</v>
      </c>
    </row>
    <row r="56" s="67" customFormat="1" ht="15">
      <c r="A56" s="67" t="s">
        <v>50</v>
      </c>
    </row>
    <row r="57" spans="3:7" s="67" customFormat="1" ht="15">
      <c r="C57" s="130" t="s">
        <v>51</v>
      </c>
      <c r="E57" s="130"/>
      <c r="F57" s="130"/>
      <c r="G57" s="130"/>
    </row>
    <row r="58" s="67" customFormat="1" ht="15"/>
  </sheetData>
  <sheetProtection/>
  <mergeCells count="32">
    <mergeCell ref="F48:G48"/>
    <mergeCell ref="A12:I12"/>
    <mergeCell ref="F42:G42"/>
    <mergeCell ref="F45:G45"/>
    <mergeCell ref="A11:I11"/>
    <mergeCell ref="A34:C34"/>
    <mergeCell ref="B42:C42"/>
    <mergeCell ref="B43:C43"/>
    <mergeCell ref="B46:C46"/>
    <mergeCell ref="A37:B37"/>
    <mergeCell ref="A1:I1"/>
    <mergeCell ref="A2:I2"/>
    <mergeCell ref="A3:K3"/>
    <mergeCell ref="A5:I5"/>
    <mergeCell ref="A10:I10"/>
    <mergeCell ref="A33:F33"/>
    <mergeCell ref="A38:B39"/>
    <mergeCell ref="B44:C44"/>
    <mergeCell ref="B45:C45"/>
    <mergeCell ref="F46:G46"/>
    <mergeCell ref="F43:G43"/>
    <mergeCell ref="F44:G44"/>
    <mergeCell ref="B51:C51"/>
    <mergeCell ref="F51:G51"/>
    <mergeCell ref="A40:I40"/>
    <mergeCell ref="B49:C49"/>
    <mergeCell ref="F49:G49"/>
    <mergeCell ref="B47:C47"/>
    <mergeCell ref="B48:C48"/>
    <mergeCell ref="B50:C50"/>
    <mergeCell ref="F50:G50"/>
    <mergeCell ref="F47:G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7030A0"/>
  </sheetPr>
  <dimension ref="A1:N70"/>
  <sheetViews>
    <sheetView zoomScalePageLayoutView="0" workbookViewId="0" topLeftCell="A31">
      <selection activeCell="G15" sqref="G15"/>
    </sheetView>
  </sheetViews>
  <sheetFormatPr defaultColWidth="9.140625" defaultRowHeight="15" outlineLevelCol="1"/>
  <cols>
    <col min="1" max="1" width="5.00390625" style="35" customWidth="1"/>
    <col min="2" max="2" width="48.7109375" style="35" customWidth="1"/>
    <col min="3" max="3" width="12.7109375" style="38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00390625" style="235" bestFit="1" customWidth="1" collapsed="1"/>
    <col min="14" max="14" width="11.421875" style="35" bestFit="1" customWidth="1"/>
    <col min="15" max="16384" width="9.140625" style="35" customWidth="1"/>
  </cols>
  <sheetData>
    <row r="1" spans="1:6" ht="15">
      <c r="A1" s="67"/>
      <c r="B1" s="67"/>
      <c r="C1" s="67"/>
      <c r="D1" s="67"/>
      <c r="E1" s="67"/>
      <c r="F1" s="67"/>
    </row>
    <row r="3" spans="1:9" ht="15">
      <c r="A3" s="388" t="s">
        <v>0</v>
      </c>
      <c r="B3" s="388"/>
      <c r="C3" s="388"/>
      <c r="D3" s="388"/>
      <c r="E3" s="388"/>
      <c r="F3" s="388"/>
      <c r="G3" s="388"/>
      <c r="H3" s="388"/>
      <c r="I3" s="388"/>
    </row>
    <row r="4" spans="1:9" ht="15">
      <c r="A4" s="388" t="s">
        <v>52</v>
      </c>
      <c r="B4" s="388"/>
      <c r="C4" s="388"/>
      <c r="D4" s="388"/>
      <c r="E4" s="388"/>
      <c r="F4" s="388"/>
      <c r="G4" s="388"/>
      <c r="H4" s="388"/>
      <c r="I4" s="388"/>
    </row>
    <row r="5" spans="1:11" ht="15">
      <c r="A5" s="366" t="s">
        <v>384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9" ht="15">
      <c r="A6" s="159"/>
      <c r="B6" s="159"/>
      <c r="C6" s="244"/>
      <c r="D6" s="159"/>
      <c r="E6" s="159"/>
      <c r="F6" s="159"/>
      <c r="G6" s="159"/>
      <c r="H6" s="159"/>
      <c r="I6" s="159"/>
    </row>
    <row r="7" spans="1:9" ht="15">
      <c r="A7" s="389" t="s">
        <v>1</v>
      </c>
      <c r="B7" s="388"/>
      <c r="C7" s="388"/>
      <c r="D7" s="388"/>
      <c r="E7" s="388"/>
      <c r="F7" s="388"/>
      <c r="G7" s="388"/>
      <c r="H7" s="388"/>
      <c r="I7" s="388"/>
    </row>
    <row r="9" spans="1:11" ht="15">
      <c r="A9" s="67" t="s">
        <v>2</v>
      </c>
      <c r="B9" s="67"/>
      <c r="C9" s="127"/>
      <c r="D9" s="67"/>
      <c r="E9" s="67"/>
      <c r="F9" s="128" t="s">
        <v>145</v>
      </c>
      <c r="G9" s="67"/>
      <c r="H9" s="67"/>
      <c r="I9" s="67"/>
      <c r="J9" s="67"/>
      <c r="K9" s="67"/>
    </row>
    <row r="10" spans="1:11" ht="15">
      <c r="A10" s="67" t="s">
        <v>3</v>
      </c>
      <c r="B10" s="67"/>
      <c r="C10" s="127"/>
      <c r="D10" s="67"/>
      <c r="E10" s="67"/>
      <c r="F10" s="308" t="s">
        <v>435</v>
      </c>
      <c r="G10" s="67"/>
      <c r="H10" s="338">
        <f>254.6+245.8</f>
        <v>500.4</v>
      </c>
      <c r="I10" s="339">
        <f>4381.1</f>
        <v>4381.1</v>
      </c>
      <c r="J10" s="67"/>
      <c r="K10" s="67"/>
    </row>
    <row r="11" spans="1:11" ht="15">
      <c r="A11" s="67"/>
      <c r="B11" s="67"/>
      <c r="C11" s="127"/>
      <c r="D11" s="67"/>
      <c r="E11" s="67"/>
      <c r="F11" s="67"/>
      <c r="G11" s="67"/>
      <c r="H11" s="67"/>
      <c r="I11" s="67"/>
      <c r="J11" s="67"/>
      <c r="K11" s="67"/>
    </row>
    <row r="12" spans="1:11" ht="15">
      <c r="A12" s="368" t="s">
        <v>8</v>
      </c>
      <c r="B12" s="368"/>
      <c r="C12" s="368"/>
      <c r="D12" s="368"/>
      <c r="E12" s="368"/>
      <c r="F12" s="368"/>
      <c r="G12" s="368"/>
      <c r="H12" s="368"/>
      <c r="I12" s="368"/>
      <c r="J12" s="67"/>
      <c r="K12" s="67"/>
    </row>
    <row r="13" spans="1:11" ht="15">
      <c r="A13" s="368" t="s">
        <v>9</v>
      </c>
      <c r="B13" s="368"/>
      <c r="C13" s="368"/>
      <c r="D13" s="368"/>
      <c r="E13" s="368"/>
      <c r="F13" s="368"/>
      <c r="G13" s="368"/>
      <c r="H13" s="368"/>
      <c r="I13" s="368"/>
      <c r="J13" s="67"/>
      <c r="K13" s="67"/>
    </row>
    <row r="14" spans="1:11" ht="15.75" thickBot="1">
      <c r="A14" s="368" t="s">
        <v>10</v>
      </c>
      <c r="B14" s="368"/>
      <c r="C14" s="368"/>
      <c r="D14" s="368"/>
      <c r="E14" s="368"/>
      <c r="F14" s="368"/>
      <c r="G14" s="368"/>
      <c r="H14" s="368"/>
      <c r="I14" s="368"/>
      <c r="J14" s="67"/>
      <c r="K14" s="67"/>
    </row>
    <row r="15" spans="1:11" ht="31.5" customHeight="1" thickBot="1">
      <c r="A15" s="501" t="s">
        <v>822</v>
      </c>
      <c r="B15" s="502"/>
      <c r="C15" s="502"/>
      <c r="D15" s="502"/>
      <c r="E15" s="502"/>
      <c r="F15" s="502"/>
      <c r="G15" s="65">
        <f>'[3]Аллейная 2'!$G$39</f>
        <v>-156340.21349999995</v>
      </c>
      <c r="H15" s="62"/>
      <c r="I15" s="62"/>
      <c r="J15" s="67"/>
      <c r="K15" s="67"/>
    </row>
    <row r="16" spans="1:11" ht="15">
      <c r="A16" s="67"/>
      <c r="B16" s="67"/>
      <c r="C16" s="127"/>
      <c r="D16" s="67"/>
      <c r="E16" s="67"/>
      <c r="F16" s="67"/>
      <c r="G16" s="67"/>
      <c r="H16" s="67"/>
      <c r="I16" s="67"/>
      <c r="J16" s="67"/>
      <c r="K16" s="67"/>
    </row>
    <row r="17" spans="1:1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  <c r="H17" s="74"/>
      <c r="I17" s="74"/>
      <c r="J17" s="74"/>
      <c r="K17" s="74"/>
    </row>
    <row r="18" spans="1:11" ht="15">
      <c r="A18" s="75" t="s">
        <v>14</v>
      </c>
      <c r="B18" s="41" t="s">
        <v>15</v>
      </c>
      <c r="C18" s="53">
        <f>C19+C20+C21+C22+C23</f>
        <v>13.84</v>
      </c>
      <c r="D18" s="76">
        <v>722760.67</v>
      </c>
      <c r="E18" s="76">
        <v>777888.75</v>
      </c>
      <c r="F18" s="76">
        <f>F19+F20+F21+F22+F23</f>
        <v>722760.6700000002</v>
      </c>
      <c r="G18" s="77">
        <f aca="true" t="shared" si="0" ref="G18:G23">D18-E18</f>
        <v>-55128.07999999996</v>
      </c>
      <c r="H18" s="78">
        <f aca="true" t="shared" si="1" ref="H18:H23">C18</f>
        <v>13.84</v>
      </c>
      <c r="I18" s="169"/>
      <c r="J18" s="169">
        <f>D18/C18/12</f>
        <v>4351.882646917148</v>
      </c>
      <c r="K18" s="169"/>
    </row>
    <row r="19" spans="1:11" ht="15">
      <c r="A19" s="81" t="s">
        <v>16</v>
      </c>
      <c r="B19" s="34" t="s">
        <v>17</v>
      </c>
      <c r="C19" s="37">
        <v>3.46</v>
      </c>
      <c r="D19" s="83">
        <f>D18*I19</f>
        <v>180690.1675</v>
      </c>
      <c r="E19" s="83">
        <f>E18*I19</f>
        <v>194472.1875</v>
      </c>
      <c r="F19" s="83">
        <f aca="true" t="shared" si="2" ref="F19:F27">D19</f>
        <v>180690.1675</v>
      </c>
      <c r="G19" s="84">
        <f t="shared" si="0"/>
        <v>-13782.01999999999</v>
      </c>
      <c r="H19" s="78">
        <f t="shared" si="1"/>
        <v>3.46</v>
      </c>
      <c r="I19" s="67">
        <f>H19/H18</f>
        <v>0.25</v>
      </c>
      <c r="J19" s="67"/>
      <c r="K19" s="67"/>
    </row>
    <row r="20" spans="1:11" ht="15">
      <c r="A20" s="81" t="s">
        <v>18</v>
      </c>
      <c r="B20" s="34" t="s">
        <v>19</v>
      </c>
      <c r="C20" s="85">
        <v>1.69</v>
      </c>
      <c r="D20" s="83">
        <f>D18*I20</f>
        <v>88256.18007947977</v>
      </c>
      <c r="E20" s="83">
        <f>E18*I20</f>
        <v>94987.86036849712</v>
      </c>
      <c r="F20" s="83">
        <f t="shared" si="2"/>
        <v>88256.18007947977</v>
      </c>
      <c r="G20" s="84">
        <f t="shared" si="0"/>
        <v>-6731.680289017342</v>
      </c>
      <c r="H20" s="78">
        <f t="shared" si="1"/>
        <v>1.69</v>
      </c>
      <c r="I20" s="67">
        <f>H20/H18</f>
        <v>0.12210982658959538</v>
      </c>
      <c r="J20" s="67"/>
      <c r="K20" s="67"/>
    </row>
    <row r="21" spans="1:11" ht="15">
      <c r="A21" s="81" t="s">
        <v>20</v>
      </c>
      <c r="B21" s="34" t="s">
        <v>21</v>
      </c>
      <c r="C21" s="85">
        <v>2.15</v>
      </c>
      <c r="D21" s="83">
        <f>D18*I21</f>
        <v>112278.57229046243</v>
      </c>
      <c r="E21" s="83">
        <f>E18*I21</f>
        <v>120842.54425578035</v>
      </c>
      <c r="F21" s="83">
        <f t="shared" si="2"/>
        <v>112278.57229046243</v>
      </c>
      <c r="G21" s="84">
        <f t="shared" si="0"/>
        <v>-8563.97196531792</v>
      </c>
      <c r="H21" s="78">
        <f t="shared" si="1"/>
        <v>2.15</v>
      </c>
      <c r="I21" s="67">
        <f>H21/H18</f>
        <v>0.15534682080924855</v>
      </c>
      <c r="J21" s="67"/>
      <c r="K21" s="67"/>
    </row>
    <row r="22" spans="1:11" ht="15">
      <c r="A22" s="81" t="s">
        <v>22</v>
      </c>
      <c r="B22" s="34" t="s">
        <v>23</v>
      </c>
      <c r="C22" s="85">
        <v>3.04</v>
      </c>
      <c r="D22" s="83">
        <f>D18*I22</f>
        <v>158756.6789595376</v>
      </c>
      <c r="E22" s="83">
        <f>E18*I22</f>
        <v>170865.73699421965</v>
      </c>
      <c r="F22" s="83">
        <f t="shared" si="2"/>
        <v>158756.6789595376</v>
      </c>
      <c r="G22" s="84">
        <f t="shared" si="0"/>
        <v>-12109.058034682064</v>
      </c>
      <c r="H22" s="78">
        <f t="shared" si="1"/>
        <v>3.04</v>
      </c>
      <c r="I22" s="67">
        <f>H22/H18</f>
        <v>0.21965317919075145</v>
      </c>
      <c r="J22" s="67"/>
      <c r="K22" s="67"/>
    </row>
    <row r="23" spans="1:11" ht="15">
      <c r="A23" s="81" t="s">
        <v>24</v>
      </c>
      <c r="B23" s="34" t="s">
        <v>148</v>
      </c>
      <c r="C23" s="85">
        <v>3.5</v>
      </c>
      <c r="D23" s="83">
        <f>D18*I23</f>
        <v>182779.07117052027</v>
      </c>
      <c r="E23" s="83">
        <f>E18*I23</f>
        <v>196720.4208815029</v>
      </c>
      <c r="F23" s="83">
        <f t="shared" si="2"/>
        <v>182779.07117052027</v>
      </c>
      <c r="G23" s="84">
        <f t="shared" si="0"/>
        <v>-13941.349710982642</v>
      </c>
      <c r="H23" s="78">
        <f t="shared" si="1"/>
        <v>3.5</v>
      </c>
      <c r="I23" s="67">
        <f>H23/H18</f>
        <v>0.25289017341040465</v>
      </c>
      <c r="J23" s="67"/>
      <c r="K23" s="67"/>
    </row>
    <row r="24" spans="1:14" ht="29.25">
      <c r="A24" s="41" t="s">
        <v>25</v>
      </c>
      <c r="B24" s="41" t="s">
        <v>300</v>
      </c>
      <c r="C24" s="46">
        <v>7.15</v>
      </c>
      <c r="D24" s="248">
        <v>375987.34</v>
      </c>
      <c r="E24" s="76">
        <v>403538.97</v>
      </c>
      <c r="F24" s="248">
        <f>F64</f>
        <v>489670</v>
      </c>
      <c r="G24" s="77">
        <f aca="true" t="shared" si="3" ref="G24:G34">D24-E24</f>
        <v>-27551.629999999946</v>
      </c>
      <c r="H24" s="78"/>
      <c r="I24" s="67"/>
      <c r="J24" s="67"/>
      <c r="K24" s="67"/>
      <c r="N24" s="161"/>
    </row>
    <row r="25" spans="1:11" ht="15">
      <c r="A25" s="41" t="s">
        <v>27</v>
      </c>
      <c r="B25" s="41" t="s">
        <v>26</v>
      </c>
      <c r="C25" s="90">
        <v>3.86</v>
      </c>
      <c r="D25" s="77">
        <v>252472.6</v>
      </c>
      <c r="E25" s="77">
        <v>259390.84</v>
      </c>
      <c r="F25" s="76">
        <f>D25</f>
        <v>252472.6</v>
      </c>
      <c r="G25" s="77">
        <f t="shared" si="3"/>
        <v>-6918.239999999991</v>
      </c>
      <c r="H25" s="39"/>
      <c r="I25" s="39"/>
      <c r="J25" s="39"/>
      <c r="K25" s="39"/>
    </row>
    <row r="26" spans="1:11" ht="15">
      <c r="A26" s="41" t="s">
        <v>29</v>
      </c>
      <c r="B26" s="41" t="s">
        <v>28</v>
      </c>
      <c r="C26" s="90">
        <v>0</v>
      </c>
      <c r="D26" s="77">
        <v>0</v>
      </c>
      <c r="E26" s="77">
        <v>0</v>
      </c>
      <c r="F26" s="77">
        <f t="shared" si="2"/>
        <v>0</v>
      </c>
      <c r="G26" s="77">
        <f t="shared" si="3"/>
        <v>0</v>
      </c>
      <c r="H26" s="39"/>
      <c r="I26" s="39"/>
      <c r="J26" s="39"/>
      <c r="K26" s="39"/>
    </row>
    <row r="27" spans="1:11" ht="15">
      <c r="A27" s="41" t="s">
        <v>31</v>
      </c>
      <c r="B27" s="41" t="s">
        <v>168</v>
      </c>
      <c r="C27" s="90">
        <v>12.54</v>
      </c>
      <c r="D27" s="77">
        <v>0</v>
      </c>
      <c r="E27" s="77">
        <v>0</v>
      </c>
      <c r="F27" s="77">
        <f t="shared" si="2"/>
        <v>0</v>
      </c>
      <c r="G27" s="77">
        <f t="shared" si="3"/>
        <v>0</v>
      </c>
      <c r="H27" s="39"/>
      <c r="I27" s="39"/>
      <c r="J27" s="39"/>
      <c r="K27" s="39"/>
    </row>
    <row r="28" spans="1:14" ht="15">
      <c r="A28" s="41" t="s">
        <v>206</v>
      </c>
      <c r="B28" s="41" t="s">
        <v>119</v>
      </c>
      <c r="C28" s="90">
        <v>5</v>
      </c>
      <c r="D28" s="77">
        <v>145740.55</v>
      </c>
      <c r="E28" s="77">
        <v>146325.7</v>
      </c>
      <c r="F28" s="87">
        <f>F45</f>
        <v>271631.267</v>
      </c>
      <c r="G28" s="77">
        <f t="shared" si="3"/>
        <v>-585.1500000000233</v>
      </c>
      <c r="H28" s="39"/>
      <c r="I28" s="39"/>
      <c r="J28" s="39"/>
      <c r="K28" s="39"/>
      <c r="M28" s="246"/>
      <c r="N28" s="161"/>
    </row>
    <row r="29" spans="1:11" ht="15">
      <c r="A29" s="41" t="s">
        <v>277</v>
      </c>
      <c r="B29" s="41" t="s">
        <v>34</v>
      </c>
      <c r="C29" s="90">
        <v>0</v>
      </c>
      <c r="D29" s="77">
        <v>0</v>
      </c>
      <c r="E29" s="77">
        <v>0</v>
      </c>
      <c r="F29" s="87">
        <v>0</v>
      </c>
      <c r="G29" s="77">
        <f t="shared" si="3"/>
        <v>0</v>
      </c>
      <c r="H29" s="39"/>
      <c r="I29" s="39"/>
      <c r="J29" s="39"/>
      <c r="K29" s="39"/>
    </row>
    <row r="30" spans="1:11" ht="15">
      <c r="A30" s="41" t="s">
        <v>211</v>
      </c>
      <c r="B30" s="41" t="s">
        <v>36</v>
      </c>
      <c r="C30" s="90"/>
      <c r="D30" s="77">
        <f>SUM(D31:D34)</f>
        <v>2261783.53</v>
      </c>
      <c r="E30" s="77">
        <f>SUM(E31:E34)</f>
        <v>2245343.2199999997</v>
      </c>
      <c r="F30" s="77">
        <f>SUM(F31:F34)</f>
        <v>2261783.53</v>
      </c>
      <c r="G30" s="77">
        <f t="shared" si="3"/>
        <v>16440.310000000056</v>
      </c>
      <c r="H30" s="39"/>
      <c r="I30" s="39"/>
      <c r="J30" s="39"/>
      <c r="K30" s="39"/>
    </row>
    <row r="31" spans="1:7" ht="15">
      <c r="A31" s="34" t="s">
        <v>213</v>
      </c>
      <c r="B31" s="34" t="s">
        <v>180</v>
      </c>
      <c r="C31" s="301" t="s">
        <v>379</v>
      </c>
      <c r="D31" s="84">
        <v>621632.25</v>
      </c>
      <c r="E31" s="84">
        <v>624820.99</v>
      </c>
      <c r="F31" s="84">
        <f>D31</f>
        <v>621632.25</v>
      </c>
      <c r="G31" s="84">
        <f t="shared" si="3"/>
        <v>-3188.7399999999907</v>
      </c>
    </row>
    <row r="32" spans="1:7" ht="15">
      <c r="A32" s="34" t="s">
        <v>214</v>
      </c>
      <c r="B32" s="34" t="s">
        <v>142</v>
      </c>
      <c r="C32" s="293" t="s">
        <v>382</v>
      </c>
      <c r="D32" s="84">
        <v>372812.97</v>
      </c>
      <c r="E32" s="84">
        <v>392787.52</v>
      </c>
      <c r="F32" s="84">
        <f>D32</f>
        <v>372812.97</v>
      </c>
      <c r="G32" s="84">
        <f t="shared" si="3"/>
        <v>-19974.550000000047</v>
      </c>
    </row>
    <row r="33" spans="1:7" ht="15">
      <c r="A33" s="34" t="s">
        <v>215</v>
      </c>
      <c r="B33" s="34" t="s">
        <v>143</v>
      </c>
      <c r="C33" s="43"/>
      <c r="D33" s="84">
        <v>458704.42</v>
      </c>
      <c r="E33" s="84">
        <v>467170.19</v>
      </c>
      <c r="F33" s="84">
        <f>D33</f>
        <v>458704.42</v>
      </c>
      <c r="G33" s="84">
        <f t="shared" si="3"/>
        <v>-8465.770000000019</v>
      </c>
    </row>
    <row r="34" spans="1:7" ht="15">
      <c r="A34" s="34" t="s">
        <v>216</v>
      </c>
      <c r="B34" s="34" t="s">
        <v>43</v>
      </c>
      <c r="C34" s="37"/>
      <c r="D34" s="84">
        <v>808633.89</v>
      </c>
      <c r="E34" s="84">
        <v>760564.52</v>
      </c>
      <c r="F34" s="84">
        <f>D34</f>
        <v>808633.89</v>
      </c>
      <c r="G34" s="84">
        <f t="shared" si="3"/>
        <v>48069.369999999995</v>
      </c>
    </row>
    <row r="35" spans="1:11" ht="15.75" thickBot="1">
      <c r="A35" s="363" t="s">
        <v>378</v>
      </c>
      <c r="B35" s="364"/>
      <c r="C35" s="364"/>
      <c r="D35" s="365"/>
      <c r="E35" s="365"/>
      <c r="F35" s="365"/>
      <c r="G35" s="101"/>
      <c r="H35" s="101"/>
      <c r="I35" s="101"/>
      <c r="J35" s="101"/>
      <c r="K35" s="102"/>
    </row>
    <row r="36" spans="1:11" ht="15.75" thickBot="1">
      <c r="A36" s="378" t="s">
        <v>383</v>
      </c>
      <c r="B36" s="379"/>
      <c r="C36" s="379"/>
      <c r="D36" s="65">
        <v>916849.06</v>
      </c>
      <c r="E36" s="66"/>
      <c r="F36" s="66"/>
      <c r="G36" s="66"/>
      <c r="H36" s="62"/>
      <c r="I36" s="62"/>
      <c r="J36" s="67"/>
      <c r="K36" s="67"/>
    </row>
    <row r="37" spans="1:11" ht="15.75" thickBot="1">
      <c r="A37" s="247"/>
      <c r="B37" s="68"/>
      <c r="C37" s="68"/>
      <c r="D37" s="223"/>
      <c r="E37" s="66"/>
      <c r="F37" s="66"/>
      <c r="G37" s="66"/>
      <c r="H37" s="62"/>
      <c r="I37" s="62"/>
      <c r="J37" s="67"/>
      <c r="K37" s="67"/>
    </row>
    <row r="38" spans="1:14" ht="27" customHeight="1" thickBot="1">
      <c r="A38" s="501" t="s">
        <v>821</v>
      </c>
      <c r="B38" s="502"/>
      <c r="C38" s="502"/>
      <c r="D38" s="502"/>
      <c r="E38" s="502"/>
      <c r="F38" s="502"/>
      <c r="G38" s="146">
        <f>G15+E28-F28+E24-F24</f>
        <v>-367776.81049999996</v>
      </c>
      <c r="H38" s="62"/>
      <c r="I38" s="62"/>
      <c r="J38" s="67"/>
      <c r="K38" s="67"/>
      <c r="M38" s="246"/>
      <c r="N38" s="161"/>
    </row>
    <row r="39" spans="1:11" ht="15">
      <c r="A39" s="486" t="s">
        <v>149</v>
      </c>
      <c r="B39" s="486"/>
      <c r="C39" s="68"/>
      <c r="D39" s="40"/>
      <c r="E39" s="66"/>
      <c r="F39" s="66"/>
      <c r="G39" s="40"/>
      <c r="H39" s="62"/>
      <c r="I39" s="62"/>
      <c r="J39" s="67"/>
      <c r="K39" s="67"/>
    </row>
    <row r="40" spans="1:11" ht="15">
      <c r="A40" s="449" t="s">
        <v>150</v>
      </c>
      <c r="B40" s="450"/>
      <c r="C40" s="44" t="s">
        <v>151</v>
      </c>
      <c r="D40" s="44" t="s">
        <v>152</v>
      </c>
      <c r="E40" s="45" t="s">
        <v>153</v>
      </c>
      <c r="F40" s="42" t="s">
        <v>154</v>
      </c>
      <c r="G40" s="45" t="s">
        <v>155</v>
      </c>
      <c r="H40" s="62"/>
      <c r="I40" s="62"/>
      <c r="J40" s="67"/>
      <c r="K40" s="67"/>
    </row>
    <row r="41" spans="1:11" ht="17.25" customHeight="1">
      <c r="A41" s="451"/>
      <c r="B41" s="452"/>
      <c r="C41" s="302">
        <f>254.6+245.8</f>
        <v>500.4</v>
      </c>
      <c r="D41" s="155">
        <f>E41/12/C41</f>
        <v>24.854697908339993</v>
      </c>
      <c r="E41" s="241">
        <v>149247.49</v>
      </c>
      <c r="F41" s="241">
        <v>135781.72</v>
      </c>
      <c r="G41" s="155">
        <f>E41-F41</f>
        <v>13465.76999999999</v>
      </c>
      <c r="H41" s="200"/>
      <c r="I41" s="200"/>
      <c r="J41" s="67"/>
      <c r="K41" s="67"/>
    </row>
    <row r="42" spans="1:9" ht="27" customHeight="1">
      <c r="A42" s="433" t="s">
        <v>44</v>
      </c>
      <c r="B42" s="487"/>
      <c r="C42" s="487"/>
      <c r="D42" s="487"/>
      <c r="E42" s="487"/>
      <c r="F42" s="487"/>
      <c r="G42" s="487"/>
      <c r="H42" s="201"/>
      <c r="I42" s="201"/>
    </row>
    <row r="44" spans="1:11" ht="28.5">
      <c r="A44" s="105" t="s">
        <v>11</v>
      </c>
      <c r="B44" s="394" t="s">
        <v>45</v>
      </c>
      <c r="C44" s="405"/>
      <c r="D44" s="105" t="s">
        <v>170</v>
      </c>
      <c r="E44" s="105" t="s">
        <v>169</v>
      </c>
      <c r="F44" s="394" t="s">
        <v>46</v>
      </c>
      <c r="G44" s="405"/>
      <c r="H44" s="173"/>
      <c r="I44" s="173"/>
      <c r="J44" s="173"/>
      <c r="K44" s="173"/>
    </row>
    <row r="45" spans="1:11" ht="15">
      <c r="A45" s="109" t="s">
        <v>47</v>
      </c>
      <c r="B45" s="396" t="s">
        <v>114</v>
      </c>
      <c r="C45" s="399"/>
      <c r="D45" s="111"/>
      <c r="E45" s="111"/>
      <c r="F45" s="411">
        <f>SUM(F46:G63)</f>
        <v>271631.267</v>
      </c>
      <c r="G45" s="404"/>
      <c r="H45" s="115"/>
      <c r="I45" s="115"/>
      <c r="J45" s="115"/>
      <c r="K45" s="115"/>
    </row>
    <row r="46" spans="1:7" ht="39" customHeight="1">
      <c r="A46" s="34" t="s">
        <v>16</v>
      </c>
      <c r="B46" s="369" t="s">
        <v>610</v>
      </c>
      <c r="C46" s="371"/>
      <c r="D46" s="119" t="s">
        <v>241</v>
      </c>
      <c r="E46" s="119">
        <v>0.02</v>
      </c>
      <c r="F46" s="420">
        <v>12215.13</v>
      </c>
      <c r="G46" s="421"/>
    </row>
    <row r="47" spans="1:7" ht="15">
      <c r="A47" s="34" t="s">
        <v>18</v>
      </c>
      <c r="B47" s="369" t="s">
        <v>627</v>
      </c>
      <c r="C47" s="371"/>
      <c r="D47" s="119" t="s">
        <v>241</v>
      </c>
      <c r="E47" s="119">
        <v>0.02</v>
      </c>
      <c r="F47" s="420">
        <v>11804</v>
      </c>
      <c r="G47" s="421"/>
    </row>
    <row r="48" spans="1:7" ht="15">
      <c r="A48" s="34" t="s">
        <v>20</v>
      </c>
      <c r="B48" s="369" t="s">
        <v>628</v>
      </c>
      <c r="C48" s="371"/>
      <c r="D48" s="119" t="s">
        <v>258</v>
      </c>
      <c r="E48" s="119"/>
      <c r="F48" s="420">
        <v>1062.4</v>
      </c>
      <c r="G48" s="421"/>
    </row>
    <row r="49" spans="1:7" ht="15">
      <c r="A49" s="34" t="s">
        <v>22</v>
      </c>
      <c r="B49" s="369" t="s">
        <v>629</v>
      </c>
      <c r="C49" s="371"/>
      <c r="D49" s="119" t="s">
        <v>240</v>
      </c>
      <c r="E49" s="119">
        <v>0.4</v>
      </c>
      <c r="F49" s="420">
        <v>55676.64</v>
      </c>
      <c r="G49" s="421"/>
    </row>
    <row r="50" spans="1:7" ht="15">
      <c r="A50" s="34" t="s">
        <v>24</v>
      </c>
      <c r="B50" s="369" t="s">
        <v>630</v>
      </c>
      <c r="C50" s="371"/>
      <c r="D50" s="119" t="s">
        <v>241</v>
      </c>
      <c r="E50" s="119">
        <v>0.02</v>
      </c>
      <c r="F50" s="420">
        <v>1572.32</v>
      </c>
      <c r="G50" s="421"/>
    </row>
    <row r="51" spans="1:7" ht="30" customHeight="1">
      <c r="A51" s="34" t="s">
        <v>106</v>
      </c>
      <c r="B51" s="369" t="s">
        <v>633</v>
      </c>
      <c r="C51" s="371"/>
      <c r="D51" s="119" t="s">
        <v>248</v>
      </c>
      <c r="E51" s="119" t="s">
        <v>254</v>
      </c>
      <c r="F51" s="440">
        <v>68470</v>
      </c>
      <c r="G51" s="441"/>
    </row>
    <row r="52" spans="1:7" ht="15">
      <c r="A52" s="34" t="s">
        <v>107</v>
      </c>
      <c r="B52" s="369" t="s">
        <v>634</v>
      </c>
      <c r="C52" s="371"/>
      <c r="D52" s="119" t="s">
        <v>248</v>
      </c>
      <c r="E52" s="119">
        <v>1</v>
      </c>
      <c r="F52" s="440">
        <v>104131.5</v>
      </c>
      <c r="G52" s="441"/>
    </row>
    <row r="53" spans="1:7" ht="15">
      <c r="A53" s="34" t="s">
        <v>120</v>
      </c>
      <c r="B53" s="369" t="s">
        <v>635</v>
      </c>
      <c r="C53" s="371"/>
      <c r="D53" s="119" t="s">
        <v>505</v>
      </c>
      <c r="E53" s="119">
        <v>0.1</v>
      </c>
      <c r="F53" s="440">
        <v>1375.42</v>
      </c>
      <c r="G53" s="441"/>
    </row>
    <row r="54" spans="1:7" ht="15">
      <c r="A54" s="34" t="s">
        <v>121</v>
      </c>
      <c r="B54" s="369" t="s">
        <v>631</v>
      </c>
      <c r="C54" s="371"/>
      <c r="D54" s="119" t="s">
        <v>248</v>
      </c>
      <c r="E54" s="119">
        <v>1</v>
      </c>
      <c r="F54" s="420">
        <v>4773.54</v>
      </c>
      <c r="G54" s="421"/>
    </row>
    <row r="55" spans="1:7" ht="30">
      <c r="A55" s="34" t="s">
        <v>122</v>
      </c>
      <c r="B55" s="369" t="s">
        <v>632</v>
      </c>
      <c r="C55" s="371"/>
      <c r="D55" s="119" t="s">
        <v>240</v>
      </c>
      <c r="E55" s="119">
        <v>0.01</v>
      </c>
      <c r="F55" s="420">
        <v>2580.65</v>
      </c>
      <c r="G55" s="421"/>
    </row>
    <row r="56" spans="1:7" ht="18.75" customHeight="1">
      <c r="A56" s="34" t="s">
        <v>144</v>
      </c>
      <c r="B56" s="369" t="s">
        <v>761</v>
      </c>
      <c r="C56" s="371"/>
      <c r="D56" s="119" t="s">
        <v>505</v>
      </c>
      <c r="E56" s="126"/>
      <c r="F56" s="420">
        <v>772.41</v>
      </c>
      <c r="G56" s="421"/>
    </row>
    <row r="57" spans="1:7" ht="16.5" customHeight="1">
      <c r="A57" s="34" t="s">
        <v>146</v>
      </c>
      <c r="B57" s="369" t="s">
        <v>747</v>
      </c>
      <c r="C57" s="371"/>
      <c r="D57" s="119" t="s">
        <v>248</v>
      </c>
      <c r="E57" s="119">
        <v>1</v>
      </c>
      <c r="F57" s="420">
        <v>104</v>
      </c>
      <c r="G57" s="421"/>
    </row>
    <row r="58" spans="1:7" ht="18" customHeight="1">
      <c r="A58" s="34" t="s">
        <v>147</v>
      </c>
      <c r="B58" s="369" t="s">
        <v>762</v>
      </c>
      <c r="C58" s="371"/>
      <c r="D58" s="119" t="s">
        <v>248</v>
      </c>
      <c r="E58" s="119">
        <v>1</v>
      </c>
      <c r="F58" s="420">
        <v>700</v>
      </c>
      <c r="G58" s="421"/>
    </row>
    <row r="59" spans="1:7" ht="18.75" customHeight="1">
      <c r="A59" s="34" t="s">
        <v>320</v>
      </c>
      <c r="B59" s="369" t="s">
        <v>763</v>
      </c>
      <c r="C59" s="371"/>
      <c r="D59" s="119" t="s">
        <v>248</v>
      </c>
      <c r="E59" s="119">
        <v>1</v>
      </c>
      <c r="F59" s="420">
        <v>1860</v>
      </c>
      <c r="G59" s="421"/>
    </row>
    <row r="60" spans="1:7" ht="18.75" customHeight="1">
      <c r="A60" s="34" t="s">
        <v>357</v>
      </c>
      <c r="B60" s="369" t="s">
        <v>818</v>
      </c>
      <c r="C60" s="371"/>
      <c r="D60" s="119" t="s">
        <v>248</v>
      </c>
      <c r="E60" s="119">
        <v>1</v>
      </c>
      <c r="F60" s="420">
        <v>2689</v>
      </c>
      <c r="G60" s="421"/>
    </row>
    <row r="61" spans="1:7" ht="18.75" customHeight="1">
      <c r="A61" s="34" t="s">
        <v>361</v>
      </c>
      <c r="B61" s="117" t="s">
        <v>819</v>
      </c>
      <c r="C61" s="118"/>
      <c r="D61" s="119" t="s">
        <v>248</v>
      </c>
      <c r="E61" s="119">
        <v>1</v>
      </c>
      <c r="F61" s="420">
        <v>174</v>
      </c>
      <c r="G61" s="421"/>
    </row>
    <row r="62" spans="1:7" ht="18.75" customHeight="1">
      <c r="A62" s="34" t="s">
        <v>362</v>
      </c>
      <c r="B62" s="369" t="s">
        <v>820</v>
      </c>
      <c r="C62" s="371"/>
      <c r="D62" s="119" t="s">
        <v>248</v>
      </c>
      <c r="E62" s="119">
        <v>2</v>
      </c>
      <c r="F62" s="420">
        <v>207</v>
      </c>
      <c r="G62" s="421"/>
    </row>
    <row r="63" spans="1:7" ht="14.25" customHeight="1">
      <c r="A63" s="34" t="s">
        <v>363</v>
      </c>
      <c r="B63" s="408" t="s">
        <v>198</v>
      </c>
      <c r="C63" s="409"/>
      <c r="D63" s="125"/>
      <c r="E63" s="125"/>
      <c r="F63" s="410">
        <f>E28*1%</f>
        <v>1463.257</v>
      </c>
      <c r="G63" s="410"/>
    </row>
    <row r="64" spans="1:11" ht="15">
      <c r="A64" s="41" t="s">
        <v>25</v>
      </c>
      <c r="B64" s="489" t="s">
        <v>759</v>
      </c>
      <c r="C64" s="503"/>
      <c r="D64" s="119"/>
      <c r="E64" s="119"/>
      <c r="F64" s="504">
        <f>SUM(F65:F67)</f>
        <v>489670</v>
      </c>
      <c r="G64" s="505"/>
      <c r="H64" s="67"/>
      <c r="I64" s="67"/>
      <c r="J64" s="67"/>
      <c r="K64" s="67"/>
    </row>
    <row r="65" spans="1:11" ht="15">
      <c r="A65" s="34" t="s">
        <v>355</v>
      </c>
      <c r="B65" s="408" t="s">
        <v>366</v>
      </c>
      <c r="C65" s="409"/>
      <c r="D65" s="119"/>
      <c r="E65" s="119"/>
      <c r="F65" s="410">
        <f>35000*12</f>
        <v>420000</v>
      </c>
      <c r="G65" s="410"/>
      <c r="H65" s="67"/>
      <c r="I65" s="67"/>
      <c r="J65" s="67"/>
      <c r="K65" s="67"/>
    </row>
    <row r="66" spans="1:11" ht="26.25">
      <c r="A66" s="34" t="s">
        <v>356</v>
      </c>
      <c r="B66" s="123" t="s">
        <v>760</v>
      </c>
      <c r="C66" s="124"/>
      <c r="D66" s="119" t="s">
        <v>248</v>
      </c>
      <c r="E66" s="119" t="s">
        <v>758</v>
      </c>
      <c r="F66" s="410">
        <v>51520</v>
      </c>
      <c r="G66" s="410"/>
      <c r="H66" s="67"/>
      <c r="I66" s="67"/>
      <c r="J66" s="67"/>
      <c r="K66" s="67"/>
    </row>
    <row r="67" spans="1:11" ht="15">
      <c r="A67" s="34" t="s">
        <v>364</v>
      </c>
      <c r="B67" s="408" t="s">
        <v>757</v>
      </c>
      <c r="C67" s="409"/>
      <c r="D67" s="119" t="s">
        <v>248</v>
      </c>
      <c r="E67" s="125">
        <v>1</v>
      </c>
      <c r="F67" s="410">
        <v>18150</v>
      </c>
      <c r="G67" s="410"/>
      <c r="H67" s="67"/>
      <c r="I67" s="67"/>
      <c r="J67" s="67"/>
      <c r="K67" s="67"/>
    </row>
    <row r="68" spans="1:11" ht="15">
      <c r="A68" s="67"/>
      <c r="B68" s="67"/>
      <c r="C68" s="127"/>
      <c r="D68" s="67"/>
      <c r="E68" s="67"/>
      <c r="F68" s="67"/>
      <c r="G68" s="67"/>
      <c r="H68" s="67"/>
      <c r="I68" s="67"/>
      <c r="J68" s="67"/>
      <c r="K68" s="67"/>
    </row>
    <row r="69" spans="1:11" ht="15">
      <c r="A69" s="67"/>
      <c r="B69" s="67" t="s">
        <v>49</v>
      </c>
      <c r="C69" s="67"/>
      <c r="D69" s="67"/>
      <c r="E69" s="67" t="s">
        <v>93</v>
      </c>
      <c r="F69" s="67"/>
      <c r="G69" s="67"/>
      <c r="H69" s="67"/>
      <c r="I69" s="67"/>
      <c r="J69" s="67"/>
      <c r="K69" s="67"/>
    </row>
    <row r="70" spans="1:6" ht="15">
      <c r="A70" s="67"/>
      <c r="B70" s="67"/>
      <c r="C70" s="67"/>
      <c r="D70" s="67"/>
      <c r="E70" s="128" t="s">
        <v>516</v>
      </c>
      <c r="F70" s="67"/>
    </row>
  </sheetData>
  <sheetProtection/>
  <mergeCells count="60">
    <mergeCell ref="F66:G66"/>
    <mergeCell ref="F56:G56"/>
    <mergeCell ref="F57:G57"/>
    <mergeCell ref="F58:G58"/>
    <mergeCell ref="F59:G59"/>
    <mergeCell ref="B56:C56"/>
    <mergeCell ref="B57:C57"/>
    <mergeCell ref="B58:C58"/>
    <mergeCell ref="B59:C59"/>
    <mergeCell ref="B63:C63"/>
    <mergeCell ref="B47:C47"/>
    <mergeCell ref="F47:G47"/>
    <mergeCell ref="B48:C48"/>
    <mergeCell ref="F48:G48"/>
    <mergeCell ref="B67:C67"/>
    <mergeCell ref="F67:G67"/>
    <mergeCell ref="B64:C64"/>
    <mergeCell ref="F64:G64"/>
    <mergeCell ref="F65:G65"/>
    <mergeCell ref="B49:C49"/>
    <mergeCell ref="B44:C44"/>
    <mergeCell ref="F44:G44"/>
    <mergeCell ref="B45:C45"/>
    <mergeCell ref="F45:G45"/>
    <mergeCell ref="B46:C46"/>
    <mergeCell ref="F46:G46"/>
    <mergeCell ref="A14:I14"/>
    <mergeCell ref="A36:C36"/>
    <mergeCell ref="A39:B39"/>
    <mergeCell ref="A40:B41"/>
    <mergeCell ref="A42:G42"/>
    <mergeCell ref="A35:F35"/>
    <mergeCell ref="A38:F38"/>
    <mergeCell ref="A15:F15"/>
    <mergeCell ref="A3:I3"/>
    <mergeCell ref="A4:I4"/>
    <mergeCell ref="A5:K5"/>
    <mergeCell ref="A7:I7"/>
    <mergeCell ref="A12:I12"/>
    <mergeCell ref="A13:I13"/>
    <mergeCell ref="F63:G63"/>
    <mergeCell ref="B65:C65"/>
    <mergeCell ref="F49:G49"/>
    <mergeCell ref="B50:C50"/>
    <mergeCell ref="F50:G50"/>
    <mergeCell ref="B54:C54"/>
    <mergeCell ref="F54:G54"/>
    <mergeCell ref="B55:C55"/>
    <mergeCell ref="F55:G55"/>
    <mergeCell ref="B51:C51"/>
    <mergeCell ref="B53:C53"/>
    <mergeCell ref="B52:C52"/>
    <mergeCell ref="F51:G51"/>
    <mergeCell ref="F52:G52"/>
    <mergeCell ref="F53:G53"/>
    <mergeCell ref="B62:C62"/>
    <mergeCell ref="F62:G62"/>
    <mergeCell ref="B60:C60"/>
    <mergeCell ref="F60:G60"/>
    <mergeCell ref="F61:G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7"/>
  <sheetViews>
    <sheetView zoomScalePageLayoutView="0" workbookViewId="0" topLeftCell="A29">
      <selection activeCell="N51" sqref="N51"/>
    </sheetView>
  </sheetViews>
  <sheetFormatPr defaultColWidth="9.140625" defaultRowHeight="15" outlineLevelCol="1"/>
  <cols>
    <col min="1" max="1" width="5.7109375" style="57" customWidth="1"/>
    <col min="2" max="2" width="49.8515625" style="57" customWidth="1"/>
    <col min="3" max="3" width="13.28125" style="57" customWidth="1"/>
    <col min="4" max="4" width="14.8515625" style="57" customWidth="1"/>
    <col min="5" max="5" width="13.00390625" style="57" customWidth="1"/>
    <col min="6" max="6" width="13.140625" style="57" customWidth="1"/>
    <col min="7" max="7" width="14.57421875" style="57" customWidth="1"/>
    <col min="8" max="10" width="11.57421875" style="57" hidden="1" customWidth="1" outlineLevel="1"/>
    <col min="11" max="11" width="9.140625" style="57" customWidth="1" collapsed="1"/>
    <col min="12" max="12" width="10.00390625" style="57" bestFit="1" customWidth="1"/>
    <col min="13" max="13" width="15.8515625" style="57" customWidth="1"/>
    <col min="14" max="16384" width="9.140625" style="57" customWidth="1"/>
  </cols>
  <sheetData>
    <row r="1" spans="1:10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</row>
    <row r="7" spans="1:9" s="59" customFormat="1" ht="16.5" customHeight="1">
      <c r="A7" s="59" t="s">
        <v>2</v>
      </c>
      <c r="F7" s="60" t="s">
        <v>156</v>
      </c>
      <c r="H7" s="60"/>
      <c r="I7" s="60"/>
    </row>
    <row r="8" spans="1:11" s="59" customFormat="1" ht="12.75">
      <c r="A8" s="59" t="s">
        <v>3</v>
      </c>
      <c r="F8" s="309" t="s">
        <v>436</v>
      </c>
      <c r="H8" s="60">
        <f>106.5+74.4+73.2</f>
        <v>254.10000000000002</v>
      </c>
      <c r="I8" s="61">
        <v>51.2</v>
      </c>
      <c r="J8" s="250">
        <v>2173.3</v>
      </c>
      <c r="K8" s="258"/>
    </row>
    <row r="9" spans="1:10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</row>
    <row r="10" spans="1:10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</row>
    <row r="11" spans="1:10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</row>
    <row r="12" spans="1:10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  <c r="J12" s="62"/>
    </row>
    <row r="13" spans="1:10" s="67" customFormat="1" ht="15.75" thickBot="1">
      <c r="A13" s="63" t="s">
        <v>312</v>
      </c>
      <c r="B13" s="64"/>
      <c r="C13" s="64"/>
      <c r="D13" s="69"/>
      <c r="E13" s="70"/>
      <c r="F13" s="70"/>
      <c r="G13" s="146">
        <f>'[1]Телевизионная 10'!$G$36</f>
        <v>-20048.079999999998</v>
      </c>
      <c r="H13" s="62"/>
      <c r="I13" s="62"/>
      <c r="J13" s="62"/>
    </row>
    <row r="14" spans="1:10" s="67" customFormat="1" ht="15.75" thickBot="1">
      <c r="A14" s="63" t="s">
        <v>313</v>
      </c>
      <c r="B14" s="64"/>
      <c r="C14" s="64"/>
      <c r="D14" s="69"/>
      <c r="E14" s="70"/>
      <c r="F14" s="70"/>
      <c r="G14" s="65">
        <f>'[1]Телевизионная 10'!$G$37</f>
        <v>129217.8789</v>
      </c>
      <c r="H14" s="62"/>
      <c r="I14" s="62"/>
      <c r="J14" s="62"/>
    </row>
    <row r="15" s="59" customFormat="1" ht="6.75" customHeight="1"/>
    <row r="16" spans="1:7" s="74" customFormat="1" ht="52.5" customHeight="1">
      <c r="A16" s="72" t="s">
        <v>11</v>
      </c>
      <c r="B16" s="72" t="s">
        <v>12</v>
      </c>
      <c r="C16" s="72" t="s">
        <v>94</v>
      </c>
      <c r="D16" s="72" t="s">
        <v>374</v>
      </c>
      <c r="E16" s="72" t="s">
        <v>375</v>
      </c>
      <c r="F16" s="73" t="s">
        <v>376</v>
      </c>
      <c r="G16" s="72" t="s">
        <v>377</v>
      </c>
    </row>
    <row r="17" spans="1:13" s="79" customFormat="1" ht="14.25">
      <c r="A17" s="135" t="s">
        <v>14</v>
      </c>
      <c r="B17" s="41" t="s">
        <v>15</v>
      </c>
      <c r="C17" s="137">
        <f>C18+C19+C20+C21</f>
        <v>9.879999999999999</v>
      </c>
      <c r="D17" s="76">
        <v>275964.92</v>
      </c>
      <c r="E17" s="76">
        <v>262043.69</v>
      </c>
      <c r="F17" s="76">
        <f>D17</f>
        <v>275964.92</v>
      </c>
      <c r="G17" s="77">
        <f>D17-E17</f>
        <v>13921.229999999981</v>
      </c>
      <c r="H17" s="78">
        <f>C17</f>
        <v>9.879999999999999</v>
      </c>
      <c r="I17" s="78"/>
      <c r="L17" s="138"/>
      <c r="M17" s="139"/>
    </row>
    <row r="18" spans="1:10" s="59" customFormat="1" ht="15">
      <c r="A18" s="140" t="s">
        <v>16</v>
      </c>
      <c r="B18" s="34" t="s">
        <v>17</v>
      </c>
      <c r="C18" s="99">
        <v>3.46</v>
      </c>
      <c r="D18" s="83">
        <f>D17*J18</f>
        <v>96643.58534412956</v>
      </c>
      <c r="E18" s="83">
        <f>E17*J18</f>
        <v>91768.33678137652</v>
      </c>
      <c r="F18" s="83">
        <f>D18</f>
        <v>96643.58534412956</v>
      </c>
      <c r="G18" s="84">
        <f>D18-E18</f>
        <v>4875.2485627530405</v>
      </c>
      <c r="H18" s="78">
        <f>C18</f>
        <v>3.46</v>
      </c>
      <c r="I18" s="78"/>
      <c r="J18" s="59">
        <f>H18/H17</f>
        <v>0.3502024291497976</v>
      </c>
    </row>
    <row r="19" spans="1:10" s="59" customFormat="1" ht="15">
      <c r="A19" s="140" t="s">
        <v>18</v>
      </c>
      <c r="B19" s="34" t="s">
        <v>19</v>
      </c>
      <c r="C19" s="99">
        <v>1.69</v>
      </c>
      <c r="D19" s="83">
        <f>D17*J19</f>
        <v>47204.525789473686</v>
      </c>
      <c r="E19" s="83">
        <f>E17*J19</f>
        <v>44823.262763157894</v>
      </c>
      <c r="F19" s="83">
        <f>D19</f>
        <v>47204.525789473686</v>
      </c>
      <c r="G19" s="84">
        <f>D19-E19</f>
        <v>2381.2630263157916</v>
      </c>
      <c r="H19" s="78">
        <f>C19</f>
        <v>1.69</v>
      </c>
      <c r="I19" s="78"/>
      <c r="J19" s="59">
        <f>H19/H17</f>
        <v>0.17105263157894737</v>
      </c>
    </row>
    <row r="20" spans="1:10" s="59" customFormat="1" ht="15">
      <c r="A20" s="140" t="s">
        <v>20</v>
      </c>
      <c r="B20" s="34" t="s">
        <v>21</v>
      </c>
      <c r="C20" s="99">
        <v>1.69</v>
      </c>
      <c r="D20" s="83">
        <f>D17*J20</f>
        <v>47204.525789473686</v>
      </c>
      <c r="E20" s="83">
        <f>E17*J20</f>
        <v>44823.262763157894</v>
      </c>
      <c r="F20" s="83">
        <f>D20</f>
        <v>47204.525789473686</v>
      </c>
      <c r="G20" s="84">
        <f>D20-E20</f>
        <v>2381.2630263157916</v>
      </c>
      <c r="H20" s="78">
        <f>C20</f>
        <v>1.69</v>
      </c>
      <c r="I20" s="78"/>
      <c r="J20" s="59">
        <f>H20/H17</f>
        <v>0.17105263157894737</v>
      </c>
    </row>
    <row r="21" spans="1:10" s="59" customFormat="1" ht="15">
      <c r="A21" s="140" t="s">
        <v>22</v>
      </c>
      <c r="B21" s="34" t="s">
        <v>23</v>
      </c>
      <c r="C21" s="99">
        <v>3.04</v>
      </c>
      <c r="D21" s="83">
        <f>D17*J21</f>
        <v>84912.28307692308</v>
      </c>
      <c r="E21" s="83">
        <f>E17*J21</f>
        <v>80628.82769230769</v>
      </c>
      <c r="F21" s="83">
        <f>D21</f>
        <v>84912.28307692308</v>
      </c>
      <c r="G21" s="84">
        <f>D21-E21</f>
        <v>4283.455384615387</v>
      </c>
      <c r="H21" s="78">
        <f>C21</f>
        <v>3.04</v>
      </c>
      <c r="I21" s="78"/>
      <c r="J21" s="59">
        <f>H21/H17</f>
        <v>0.3076923076923077</v>
      </c>
    </row>
    <row r="22" spans="1:7" s="88" customFormat="1" ht="14.25">
      <c r="A22" s="142" t="s">
        <v>25</v>
      </c>
      <c r="B22" s="86" t="s">
        <v>26</v>
      </c>
      <c r="C22" s="97">
        <v>0</v>
      </c>
      <c r="D22" s="87">
        <v>0</v>
      </c>
      <c r="E22" s="87">
        <v>0</v>
      </c>
      <c r="F22" s="87">
        <v>0</v>
      </c>
      <c r="G22" s="77">
        <f aca="true" t="shared" si="0" ref="G22:G31">D22-E22</f>
        <v>0</v>
      </c>
    </row>
    <row r="23" spans="1:7" s="88" customFormat="1" ht="14.25">
      <c r="A23" s="142" t="s">
        <v>27</v>
      </c>
      <c r="B23" s="86" t="s">
        <v>28</v>
      </c>
      <c r="C23" s="97">
        <v>0</v>
      </c>
      <c r="D23" s="87">
        <v>0</v>
      </c>
      <c r="E23" s="87">
        <v>0</v>
      </c>
      <c r="F23" s="87">
        <f>D23</f>
        <v>0</v>
      </c>
      <c r="G23" s="77">
        <f t="shared" si="0"/>
        <v>0</v>
      </c>
    </row>
    <row r="24" spans="1:7" s="88" customFormat="1" ht="14.25">
      <c r="A24" s="142" t="s">
        <v>29</v>
      </c>
      <c r="B24" s="86" t="s">
        <v>168</v>
      </c>
      <c r="C24" s="143" t="s">
        <v>394</v>
      </c>
      <c r="D24" s="87">
        <v>0</v>
      </c>
      <c r="E24" s="87">
        <v>0</v>
      </c>
      <c r="F24" s="87">
        <f>D24</f>
        <v>0</v>
      </c>
      <c r="G24" s="77">
        <f t="shared" si="0"/>
        <v>0</v>
      </c>
    </row>
    <row r="25" spans="1:7" s="88" customFormat="1" ht="14.25">
      <c r="A25" s="142" t="s">
        <v>31</v>
      </c>
      <c r="B25" s="86" t="s">
        <v>119</v>
      </c>
      <c r="C25" s="97">
        <v>4.5</v>
      </c>
      <c r="D25" s="87">
        <v>121408.32</v>
      </c>
      <c r="E25" s="87">
        <v>120612</v>
      </c>
      <c r="F25" s="87">
        <f>F44</f>
        <v>76941.59</v>
      </c>
      <c r="G25" s="77">
        <f t="shared" si="0"/>
        <v>796.320000000007</v>
      </c>
    </row>
    <row r="26" spans="1:7" s="98" customFormat="1" ht="14.25">
      <c r="A26" s="136" t="s">
        <v>33</v>
      </c>
      <c r="B26" s="41" t="s">
        <v>34</v>
      </c>
      <c r="C26" s="46">
        <v>0</v>
      </c>
      <c r="D26" s="77">
        <v>0</v>
      </c>
      <c r="E26" s="77">
        <v>1821.22</v>
      </c>
      <c r="F26" s="87">
        <v>0</v>
      </c>
      <c r="G26" s="77">
        <f t="shared" si="0"/>
        <v>-1821.22</v>
      </c>
    </row>
    <row r="27" spans="1:7" s="98" customFormat="1" ht="14.25">
      <c r="A27" s="136" t="s">
        <v>35</v>
      </c>
      <c r="B27" s="41" t="s">
        <v>36</v>
      </c>
      <c r="C27" s="97"/>
      <c r="D27" s="77">
        <f>SUM(D28:D31)</f>
        <v>1038479.69</v>
      </c>
      <c r="E27" s="77">
        <f>SUM(E28:E31)</f>
        <v>1068015.87</v>
      </c>
      <c r="F27" s="77">
        <f>SUM(F28:F31)</f>
        <v>1038479.69</v>
      </c>
      <c r="G27" s="77">
        <f t="shared" si="0"/>
        <v>-29536.180000000168</v>
      </c>
    </row>
    <row r="28" spans="1:7" ht="15">
      <c r="A28" s="141" t="s">
        <v>37</v>
      </c>
      <c r="B28" s="34" t="s">
        <v>180</v>
      </c>
      <c r="C28" s="293" t="s">
        <v>379</v>
      </c>
      <c r="D28" s="84">
        <v>9971.54</v>
      </c>
      <c r="E28" s="84">
        <v>9860.2</v>
      </c>
      <c r="F28" s="84">
        <f>D28</f>
        <v>9971.54</v>
      </c>
      <c r="G28" s="84">
        <f t="shared" si="0"/>
        <v>111.34000000000015</v>
      </c>
    </row>
    <row r="29" spans="1:7" ht="15">
      <c r="A29" s="141" t="s">
        <v>39</v>
      </c>
      <c r="B29" s="34" t="s">
        <v>142</v>
      </c>
      <c r="C29" s="293" t="s">
        <v>382</v>
      </c>
      <c r="D29" s="84">
        <v>327823.91</v>
      </c>
      <c r="E29" s="84">
        <v>349186.38</v>
      </c>
      <c r="F29" s="84">
        <f>D29</f>
        <v>327823.91</v>
      </c>
      <c r="G29" s="84">
        <f t="shared" si="0"/>
        <v>-21362.47000000003</v>
      </c>
    </row>
    <row r="30" spans="1:7" ht="15">
      <c r="A30" s="141" t="s">
        <v>42</v>
      </c>
      <c r="B30" s="34" t="s">
        <v>143</v>
      </c>
      <c r="C30" s="294"/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7" ht="15">
      <c r="A31" s="141" t="s">
        <v>41</v>
      </c>
      <c r="B31" s="34" t="s">
        <v>43</v>
      </c>
      <c r="C31" s="293" t="s">
        <v>380</v>
      </c>
      <c r="D31" s="84">
        <v>700684.24</v>
      </c>
      <c r="E31" s="84">
        <v>708969.29</v>
      </c>
      <c r="F31" s="84">
        <f>D31</f>
        <v>700684.24</v>
      </c>
      <c r="G31" s="84">
        <f t="shared" si="0"/>
        <v>-8285.050000000047</v>
      </c>
    </row>
    <row r="32" spans="1:10" s="102" customFormat="1" ht="24" customHeight="1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  <c r="J32" s="101"/>
    </row>
    <row r="33" spans="1:10" s="67" customFormat="1" ht="15.75" thickBot="1">
      <c r="A33" s="378" t="s">
        <v>383</v>
      </c>
      <c r="B33" s="379"/>
      <c r="C33" s="379"/>
      <c r="D33" s="65">
        <v>379440.94</v>
      </c>
      <c r="E33" s="66"/>
      <c r="F33" s="66"/>
      <c r="G33" s="66"/>
      <c r="H33" s="62"/>
      <c r="I33" s="62"/>
      <c r="J33" s="62"/>
    </row>
    <row r="34" spans="1:10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  <c r="J34" s="62"/>
    </row>
    <row r="35" spans="1:10" s="67" customFormat="1" ht="15.75" thickBot="1">
      <c r="A35" s="63" t="s">
        <v>386</v>
      </c>
      <c r="B35" s="64"/>
      <c r="C35" s="64"/>
      <c r="D35" s="69"/>
      <c r="E35" s="70"/>
      <c r="F35" s="70"/>
      <c r="G35" s="146">
        <f>G13+E26-F26</f>
        <v>-18226.859999999997</v>
      </c>
      <c r="H35" s="62"/>
      <c r="I35" s="62"/>
      <c r="J35" s="62"/>
    </row>
    <row r="36" spans="1:10" s="102" customFormat="1" ht="14.25" thickBot="1">
      <c r="A36" s="63" t="s">
        <v>387</v>
      </c>
      <c r="B36" s="64"/>
      <c r="C36" s="64"/>
      <c r="D36" s="69"/>
      <c r="E36" s="70"/>
      <c r="F36" s="70"/>
      <c r="G36" s="146">
        <f>G14+E25-F25</f>
        <v>172888.2889</v>
      </c>
      <c r="H36" s="101"/>
      <c r="I36" s="101"/>
      <c r="J36" s="101"/>
    </row>
    <row r="37" spans="1:10" s="102" customFormat="1" ht="20.25" customHeight="1">
      <c r="A37" s="506" t="s">
        <v>149</v>
      </c>
      <c r="B37" s="506"/>
      <c r="C37" s="341"/>
      <c r="D37" s="342"/>
      <c r="E37" s="343"/>
      <c r="F37" s="343"/>
      <c r="G37" s="342"/>
      <c r="H37" s="101"/>
      <c r="I37" s="101"/>
      <c r="J37" s="101"/>
    </row>
    <row r="38" spans="1:10" s="102" customFormat="1" ht="18" customHeight="1">
      <c r="A38" s="429" t="s">
        <v>150</v>
      </c>
      <c r="B38" s="430"/>
      <c r="C38" s="322" t="s">
        <v>151</v>
      </c>
      <c r="D38" s="322" t="s">
        <v>152</v>
      </c>
      <c r="E38" s="323" t="s">
        <v>153</v>
      </c>
      <c r="F38" s="324" t="s">
        <v>154</v>
      </c>
      <c r="G38" s="323" t="s">
        <v>155</v>
      </c>
      <c r="H38" s="101"/>
      <c r="I38" s="101"/>
      <c r="J38" s="101"/>
    </row>
    <row r="39" spans="1:10" s="102" customFormat="1" ht="18.75" customHeight="1">
      <c r="A39" s="431"/>
      <c r="B39" s="432"/>
      <c r="C39" s="302">
        <f>73.2+74.4+106.5</f>
        <v>254.10000000000002</v>
      </c>
      <c r="D39" s="325">
        <f>E39/12/C39</f>
        <v>13.346674537583628</v>
      </c>
      <c r="E39" s="327">
        <f>17057.04+11723.76+11915.88</f>
        <v>40696.68</v>
      </c>
      <c r="F39" s="327">
        <f>9566.37+10444.22+15525.57</f>
        <v>35536.16</v>
      </c>
      <c r="G39" s="325">
        <f>E39-F39</f>
        <v>5160.519999999997</v>
      </c>
      <c r="H39" s="101"/>
      <c r="I39" s="340">
        <v>254.1</v>
      </c>
      <c r="J39" s="101"/>
    </row>
    <row r="40" spans="1:10" s="102" customFormat="1" ht="9.75" customHeight="1">
      <c r="A40" s="104"/>
      <c r="B40" s="104"/>
      <c r="C40" s="104"/>
      <c r="D40" s="104"/>
      <c r="E40" s="101"/>
      <c r="F40" s="101"/>
      <c r="G40" s="101"/>
      <c r="H40" s="101"/>
      <c r="I40" s="101"/>
      <c r="J40" s="101"/>
    </row>
    <row r="41" spans="1:10" ht="23.25" customHeight="1">
      <c r="A41" s="367" t="s">
        <v>44</v>
      </c>
      <c r="B41" s="403"/>
      <c r="C41" s="403"/>
      <c r="D41" s="403"/>
      <c r="E41" s="403"/>
      <c r="F41" s="403"/>
      <c r="G41" s="403"/>
      <c r="H41" s="58"/>
      <c r="I41" s="58"/>
      <c r="J41" s="58"/>
    </row>
    <row r="43" spans="1:11" s="74" customFormat="1" ht="28.5">
      <c r="A43" s="105" t="s">
        <v>11</v>
      </c>
      <c r="B43" s="394" t="s">
        <v>45</v>
      </c>
      <c r="C43" s="405"/>
      <c r="D43" s="105" t="s">
        <v>170</v>
      </c>
      <c r="E43" s="105" t="s">
        <v>169</v>
      </c>
      <c r="F43" s="497" t="s">
        <v>46</v>
      </c>
      <c r="G43" s="497"/>
      <c r="H43" s="106"/>
      <c r="I43" s="106"/>
      <c r="J43" s="107"/>
      <c r="K43" s="108"/>
    </row>
    <row r="44" spans="1:11" s="115" customFormat="1" ht="15">
      <c r="A44" s="109" t="s">
        <v>47</v>
      </c>
      <c r="B44" s="396" t="s">
        <v>114</v>
      </c>
      <c r="C44" s="399"/>
      <c r="D44" s="111"/>
      <c r="E44" s="111"/>
      <c r="F44" s="507">
        <f>SUM(F45:G52)</f>
        <v>76941.59</v>
      </c>
      <c r="G44" s="508"/>
      <c r="H44" s="113"/>
      <c r="I44" s="113"/>
      <c r="J44" s="114"/>
      <c r="K44" s="116"/>
    </row>
    <row r="45" spans="1:11" ht="15">
      <c r="A45" s="34" t="s">
        <v>16</v>
      </c>
      <c r="B45" s="369" t="s">
        <v>528</v>
      </c>
      <c r="C45" s="371"/>
      <c r="D45" s="119" t="s">
        <v>248</v>
      </c>
      <c r="E45" s="122">
        <v>5</v>
      </c>
      <c r="F45" s="410">
        <v>2203.2</v>
      </c>
      <c r="G45" s="410"/>
      <c r="H45" s="40"/>
      <c r="I45" s="40"/>
      <c r="J45" s="40"/>
      <c r="K45" s="120"/>
    </row>
    <row r="46" spans="1:11" ht="15">
      <c r="A46" s="34" t="s">
        <v>18</v>
      </c>
      <c r="B46" s="369" t="s">
        <v>571</v>
      </c>
      <c r="C46" s="371"/>
      <c r="D46" s="119" t="s">
        <v>248</v>
      </c>
      <c r="E46" s="122">
        <v>10</v>
      </c>
      <c r="F46" s="410">
        <v>697</v>
      </c>
      <c r="G46" s="410"/>
      <c r="H46" s="40"/>
      <c r="I46" s="40"/>
      <c r="J46" s="40"/>
      <c r="K46" s="120"/>
    </row>
    <row r="47" spans="1:11" ht="15">
      <c r="A47" s="34" t="s">
        <v>20</v>
      </c>
      <c r="B47" s="369" t="s">
        <v>636</v>
      </c>
      <c r="C47" s="371"/>
      <c r="D47" s="119" t="s">
        <v>248</v>
      </c>
      <c r="E47" s="122">
        <v>5</v>
      </c>
      <c r="F47" s="410">
        <v>85</v>
      </c>
      <c r="G47" s="410"/>
      <c r="H47" s="40"/>
      <c r="I47" s="40"/>
      <c r="J47" s="40"/>
      <c r="K47" s="120"/>
    </row>
    <row r="48" spans="1:11" ht="15">
      <c r="A48" s="34" t="s">
        <v>20</v>
      </c>
      <c r="B48" s="369" t="s">
        <v>637</v>
      </c>
      <c r="C48" s="371"/>
      <c r="D48" s="119" t="s">
        <v>240</v>
      </c>
      <c r="E48" s="122">
        <v>0.02</v>
      </c>
      <c r="F48" s="410">
        <v>11558.68</v>
      </c>
      <c r="G48" s="410"/>
      <c r="H48" s="40"/>
      <c r="I48" s="40"/>
      <c r="J48" s="40"/>
      <c r="K48" s="120"/>
    </row>
    <row r="49" spans="1:11" ht="15">
      <c r="A49" s="34" t="s">
        <v>22</v>
      </c>
      <c r="B49" s="369" t="s">
        <v>506</v>
      </c>
      <c r="C49" s="415"/>
      <c r="D49" s="119" t="s">
        <v>248</v>
      </c>
      <c r="E49" s="154">
        <v>1</v>
      </c>
      <c r="F49" s="398">
        <v>29890</v>
      </c>
      <c r="G49" s="398"/>
      <c r="H49" s="40"/>
      <c r="I49" s="40"/>
      <c r="J49" s="40"/>
      <c r="K49" s="120"/>
    </row>
    <row r="50" spans="1:11" ht="15">
      <c r="A50" s="34" t="s">
        <v>24</v>
      </c>
      <c r="B50" s="369" t="s">
        <v>638</v>
      </c>
      <c r="C50" s="415"/>
      <c r="D50" s="119" t="s">
        <v>240</v>
      </c>
      <c r="E50" s="154">
        <v>0.09</v>
      </c>
      <c r="F50" s="398">
        <v>13301.59</v>
      </c>
      <c r="G50" s="398"/>
      <c r="H50" s="40"/>
      <c r="I50" s="40"/>
      <c r="J50" s="40"/>
      <c r="K50" s="120"/>
    </row>
    <row r="51" spans="1:11" ht="15">
      <c r="A51" s="34" t="s">
        <v>106</v>
      </c>
      <c r="B51" s="369" t="s">
        <v>789</v>
      </c>
      <c r="C51" s="415"/>
      <c r="D51" s="119"/>
      <c r="E51" s="154"/>
      <c r="F51" s="398">
        <v>18000</v>
      </c>
      <c r="G51" s="398"/>
      <c r="H51" s="40"/>
      <c r="I51" s="40"/>
      <c r="J51" s="40"/>
      <c r="K51" s="120"/>
    </row>
    <row r="52" spans="1:7" s="67" customFormat="1" ht="15">
      <c r="A52" s="34" t="s">
        <v>107</v>
      </c>
      <c r="B52" s="185" t="s">
        <v>198</v>
      </c>
      <c r="C52" s="186"/>
      <c r="D52" s="125"/>
      <c r="E52" s="125"/>
      <c r="F52" s="410">
        <f>E25*1%</f>
        <v>1206.1200000000001</v>
      </c>
      <c r="G52" s="410"/>
    </row>
    <row r="53" s="59" customFormat="1" ht="12.75"/>
    <row r="54" spans="1:7" s="59" customFormat="1" ht="15">
      <c r="A54" s="67" t="s">
        <v>55</v>
      </c>
      <c r="B54" s="67"/>
      <c r="C54" s="127" t="s">
        <v>49</v>
      </c>
      <c r="D54" s="67"/>
      <c r="E54" s="67"/>
      <c r="F54" s="67" t="s">
        <v>93</v>
      </c>
      <c r="G54" s="67"/>
    </row>
    <row r="55" spans="1:7" ht="15">
      <c r="A55" s="67"/>
      <c r="B55" s="67"/>
      <c r="C55" s="127"/>
      <c r="D55" s="67"/>
      <c r="E55" s="67"/>
      <c r="F55" s="128" t="s">
        <v>516</v>
      </c>
      <c r="G55" s="67"/>
    </row>
    <row r="56" spans="1:7" ht="15">
      <c r="A56" s="67" t="s">
        <v>50</v>
      </c>
      <c r="B56" s="67"/>
      <c r="C56" s="127"/>
      <c r="D56" s="67"/>
      <c r="E56" s="67"/>
      <c r="F56" s="67"/>
      <c r="G56" s="67"/>
    </row>
    <row r="57" spans="1:7" ht="15">
      <c r="A57" s="67"/>
      <c r="B57" s="67"/>
      <c r="C57" s="129" t="s">
        <v>51</v>
      </c>
      <c r="D57" s="67"/>
      <c r="E57" s="130"/>
      <c r="F57" s="130"/>
      <c r="G57" s="130"/>
    </row>
  </sheetData>
  <sheetProtection/>
  <mergeCells count="31">
    <mergeCell ref="B50:C50"/>
    <mergeCell ref="B48:C48"/>
    <mergeCell ref="A37:B37"/>
    <mergeCell ref="F47:G47"/>
    <mergeCell ref="F52:G52"/>
    <mergeCell ref="A33:C33"/>
    <mergeCell ref="B43:C43"/>
    <mergeCell ref="F43:G43"/>
    <mergeCell ref="B44:C44"/>
    <mergeCell ref="F44:G44"/>
    <mergeCell ref="B45:C45"/>
    <mergeCell ref="A1:J1"/>
    <mergeCell ref="A2:J2"/>
    <mergeCell ref="A3:J3"/>
    <mergeCell ref="A5:J5"/>
    <mergeCell ref="A9:J9"/>
    <mergeCell ref="F50:G50"/>
    <mergeCell ref="F45:G45"/>
    <mergeCell ref="B49:C49"/>
    <mergeCell ref="F49:G49"/>
    <mergeCell ref="A41:G41"/>
    <mergeCell ref="A11:J11"/>
    <mergeCell ref="F46:G46"/>
    <mergeCell ref="B51:C51"/>
    <mergeCell ref="F51:G51"/>
    <mergeCell ref="F48:G48"/>
    <mergeCell ref="A10:J10"/>
    <mergeCell ref="A32:F32"/>
    <mergeCell ref="A38:B39"/>
    <mergeCell ref="B46:C46"/>
    <mergeCell ref="B47:C47"/>
  </mergeCells>
  <printOptions/>
  <pageMargins left="0.7" right="0.7" top="0.75" bottom="0.75" header="0.3" footer="0.3"/>
  <pageSetup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7030A0"/>
  </sheetPr>
  <dimension ref="A1:L48"/>
  <sheetViews>
    <sheetView zoomScalePageLayoutView="0" workbookViewId="0" topLeftCell="A22">
      <selection activeCell="G35" sqref="G35"/>
    </sheetView>
  </sheetViews>
  <sheetFormatPr defaultColWidth="9.140625" defaultRowHeight="15" outlineLevelCol="1"/>
  <cols>
    <col min="1" max="1" width="4.8515625" style="57" customWidth="1"/>
    <col min="2" max="2" width="50.28125" style="57" customWidth="1"/>
    <col min="3" max="3" width="15.8515625" style="57" customWidth="1"/>
    <col min="4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9.140625" style="57" customWidth="1" collapsed="1"/>
    <col min="11" max="11" width="10.00390625" style="57" bestFit="1" customWidth="1"/>
    <col min="12" max="12" width="15.8515625" style="57" customWidth="1"/>
    <col min="13" max="16384" width="9.140625" style="57" customWidth="1"/>
  </cols>
  <sheetData>
    <row r="1" spans="1:9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</row>
    <row r="2" spans="1:9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</row>
    <row r="3" spans="1:9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</row>
    <row r="7" spans="1:8" s="59" customFormat="1" ht="16.5" customHeight="1">
      <c r="A7" s="59" t="s">
        <v>2</v>
      </c>
      <c r="F7" s="60" t="s">
        <v>181</v>
      </c>
      <c r="H7" s="60"/>
    </row>
    <row r="8" spans="1:8" s="59" customFormat="1" ht="12.75">
      <c r="A8" s="59" t="s">
        <v>3</v>
      </c>
      <c r="F8" s="310" t="s">
        <v>309</v>
      </c>
      <c r="H8" s="60"/>
    </row>
    <row r="9" spans="1:9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</row>
    <row r="10" spans="1:9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</row>
    <row r="11" spans="1:9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'[1]Дубрава 1'!$G$36</f>
        <v>7331.355100000015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2" s="79" customFormat="1" ht="14.25">
      <c r="A16" s="75" t="s">
        <v>14</v>
      </c>
      <c r="B16" s="41" t="s">
        <v>15</v>
      </c>
      <c r="C16" s="137">
        <f>C17+C18+C19+C20</f>
        <v>9.879999999999999</v>
      </c>
      <c r="D16" s="76">
        <v>100319.86</v>
      </c>
      <c r="E16" s="76">
        <v>90552.32</v>
      </c>
      <c r="F16" s="76">
        <f>D16</f>
        <v>100319.86</v>
      </c>
      <c r="G16" s="77">
        <f>D16-E16</f>
        <v>9767.539999999994</v>
      </c>
      <c r="H16" s="78">
        <f>C16</f>
        <v>9.879999999999999</v>
      </c>
      <c r="K16" s="138"/>
      <c r="L16" s="139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35132.258663967616</v>
      </c>
      <c r="E17" s="83">
        <f>E16*I17</f>
        <v>31711.642429149804</v>
      </c>
      <c r="F17" s="83">
        <f>D17</f>
        <v>35132.258663967616</v>
      </c>
      <c r="G17" s="84">
        <f>D17-E17</f>
        <v>3420.6162348178113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17159.97605263158</v>
      </c>
      <c r="E18" s="83">
        <f>E16*I18</f>
        <v>15489.212631578948</v>
      </c>
      <c r="F18" s="83">
        <f>D18</f>
        <v>17159.97605263158</v>
      </c>
      <c r="G18" s="84">
        <f>D18-E18</f>
        <v>1670.763421052632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17159.97605263158</v>
      </c>
      <c r="E19" s="83">
        <f>E16*I19</f>
        <v>15489.212631578948</v>
      </c>
      <c r="F19" s="83">
        <f>D19</f>
        <v>17159.97605263158</v>
      </c>
      <c r="G19" s="84">
        <f>D19-E19</f>
        <v>1670.763421052632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30867.64923076923</v>
      </c>
      <c r="E20" s="83">
        <f>E16*I20</f>
        <v>27862.25230769231</v>
      </c>
      <c r="F20" s="83">
        <f>D20</f>
        <v>30867.64923076923</v>
      </c>
      <c r="G20" s="84">
        <f>D20-E20</f>
        <v>3005.3969230769217</v>
      </c>
      <c r="H20" s="78">
        <f>C20</f>
        <v>3.04</v>
      </c>
      <c r="I20" s="59">
        <f>H20/H16</f>
        <v>0.3076923076923077</v>
      </c>
    </row>
    <row r="21" spans="1:7" s="88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1">D21-E21</f>
        <v>0</v>
      </c>
    </row>
    <row r="22" spans="1:7" s="88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</row>
    <row r="23" spans="1:7" s="88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</row>
    <row r="24" spans="1:7" s="88" customFormat="1" ht="14.25">
      <c r="A24" s="86" t="s">
        <v>31</v>
      </c>
      <c r="B24" s="86" t="s">
        <v>119</v>
      </c>
      <c r="C24" s="87">
        <v>1.86</v>
      </c>
      <c r="D24" s="87">
        <v>16217.84</v>
      </c>
      <c r="E24" s="87">
        <v>17078.65</v>
      </c>
      <c r="F24" s="87">
        <f>F40-F26</f>
        <v>3783.0565</v>
      </c>
      <c r="G24" s="77">
        <f t="shared" si="0"/>
        <v>-860.8100000000013</v>
      </c>
    </row>
    <row r="25" spans="1:7" s="98" customFormat="1" ht="14.25">
      <c r="A25" s="41" t="s">
        <v>33</v>
      </c>
      <c r="B25" s="41" t="s">
        <v>168</v>
      </c>
      <c r="C25" s="77" t="s">
        <v>395</v>
      </c>
      <c r="D25" s="77">
        <v>0</v>
      </c>
      <c r="E25" s="77">
        <v>0</v>
      </c>
      <c r="F25" s="87">
        <v>0</v>
      </c>
      <c r="G25" s="77">
        <f t="shared" si="0"/>
        <v>0</v>
      </c>
    </row>
    <row r="26" spans="1:7" s="98" customFormat="1" ht="14.25">
      <c r="A26" s="41" t="s">
        <v>35</v>
      </c>
      <c r="B26" s="41" t="s">
        <v>311</v>
      </c>
      <c r="C26" s="77">
        <v>0</v>
      </c>
      <c r="D26" s="77">
        <v>0</v>
      </c>
      <c r="E26" s="77">
        <v>13429.47</v>
      </c>
      <c r="F26" s="87">
        <f>D26</f>
        <v>0</v>
      </c>
      <c r="G26" s="77">
        <f t="shared" si="0"/>
        <v>-13429.47</v>
      </c>
    </row>
    <row r="27" spans="1:7" s="98" customFormat="1" ht="14.25">
      <c r="A27" s="41" t="s">
        <v>35</v>
      </c>
      <c r="B27" s="41" t="s">
        <v>36</v>
      </c>
      <c r="C27" s="77"/>
      <c r="D27" s="77">
        <f>SUM(D28:D31)</f>
        <v>378834.77999999997</v>
      </c>
      <c r="E27" s="77">
        <f>SUM(E28:E31)</f>
        <v>403947.56</v>
      </c>
      <c r="F27" s="77">
        <f>SUM(F28:F31)</f>
        <v>378834.77999999997</v>
      </c>
      <c r="G27" s="77">
        <f t="shared" si="0"/>
        <v>-25112.780000000028</v>
      </c>
    </row>
    <row r="28" spans="1:7" ht="15">
      <c r="A28" s="34" t="s">
        <v>37</v>
      </c>
      <c r="B28" s="34" t="s">
        <v>172</v>
      </c>
      <c r="C28" s="293" t="s">
        <v>379</v>
      </c>
      <c r="D28" s="84">
        <v>2603.06</v>
      </c>
      <c r="E28" s="84">
        <v>2734.1</v>
      </c>
      <c r="F28" s="84">
        <f>D28</f>
        <v>2603.06</v>
      </c>
      <c r="G28" s="84">
        <f t="shared" si="0"/>
        <v>-131.03999999999996</v>
      </c>
    </row>
    <row r="29" spans="1:7" ht="15">
      <c r="A29" s="34" t="s">
        <v>39</v>
      </c>
      <c r="B29" s="34" t="s">
        <v>142</v>
      </c>
      <c r="C29" s="293" t="s">
        <v>382</v>
      </c>
      <c r="D29" s="84">
        <v>101517.25</v>
      </c>
      <c r="E29" s="84">
        <v>104084.51</v>
      </c>
      <c r="F29" s="84">
        <f>D29</f>
        <v>101517.25</v>
      </c>
      <c r="G29" s="84">
        <f t="shared" si="0"/>
        <v>-2567.2599999999948</v>
      </c>
    </row>
    <row r="30" spans="1:7" ht="15">
      <c r="A30" s="34" t="s">
        <v>42</v>
      </c>
      <c r="B30" s="34" t="s">
        <v>143</v>
      </c>
      <c r="C30" s="294"/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7" ht="15">
      <c r="A31" s="34" t="s">
        <v>41</v>
      </c>
      <c r="B31" s="34" t="s">
        <v>43</v>
      </c>
      <c r="C31" s="293" t="s">
        <v>380</v>
      </c>
      <c r="D31" s="84">
        <v>274714.47</v>
      </c>
      <c r="E31" s="84">
        <v>297128.95</v>
      </c>
      <c r="F31" s="84">
        <f>D31</f>
        <v>274714.47</v>
      </c>
      <c r="G31" s="84">
        <f t="shared" si="0"/>
        <v>-22414.48000000004</v>
      </c>
    </row>
    <row r="32" spans="1:9" s="102" customFormat="1" ht="14.25" customHeight="1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</row>
    <row r="33" spans="1:9" s="67" customFormat="1" ht="15.75" thickBot="1">
      <c r="A33" s="378" t="s">
        <v>383</v>
      </c>
      <c r="B33" s="379"/>
      <c r="C33" s="379"/>
      <c r="D33" s="65">
        <v>89364.12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387</v>
      </c>
      <c r="B35" s="64"/>
      <c r="C35" s="64"/>
      <c r="D35" s="69"/>
      <c r="E35" s="70"/>
      <c r="F35" s="70"/>
      <c r="G35" s="146">
        <f>G13+E24-F24+E26-F26</f>
        <v>34056.41860000002</v>
      </c>
      <c r="H35" s="62"/>
      <c r="I35" s="62"/>
    </row>
    <row r="36" spans="1:9" s="102" customFormat="1" ht="9.75" customHeight="1">
      <c r="A36" s="104"/>
      <c r="B36" s="104"/>
      <c r="C36" s="104"/>
      <c r="D36" s="104"/>
      <c r="E36" s="101"/>
      <c r="F36" s="101"/>
      <c r="G36" s="101"/>
      <c r="H36" s="101"/>
      <c r="I36" s="101"/>
    </row>
    <row r="37" spans="1:9" ht="23.25" customHeight="1">
      <c r="A37" s="367" t="s">
        <v>44</v>
      </c>
      <c r="B37" s="403"/>
      <c r="C37" s="403"/>
      <c r="D37" s="403"/>
      <c r="E37" s="403"/>
      <c r="F37" s="403"/>
      <c r="G37" s="403"/>
      <c r="H37" s="58"/>
      <c r="I37" s="58"/>
    </row>
    <row r="39" spans="1:10" s="74" customFormat="1" ht="37.5" customHeight="1">
      <c r="A39" s="105" t="s">
        <v>11</v>
      </c>
      <c r="B39" s="394" t="s">
        <v>45</v>
      </c>
      <c r="C39" s="405"/>
      <c r="D39" s="105" t="s">
        <v>170</v>
      </c>
      <c r="E39" s="105" t="s">
        <v>169</v>
      </c>
      <c r="F39" s="497" t="s">
        <v>46</v>
      </c>
      <c r="G39" s="497"/>
      <c r="H39" s="106"/>
      <c r="I39" s="107"/>
      <c r="J39" s="108"/>
    </row>
    <row r="40" spans="1:10" s="115" customFormat="1" ht="15">
      <c r="A40" s="109" t="s">
        <v>47</v>
      </c>
      <c r="B40" s="396" t="s">
        <v>114</v>
      </c>
      <c r="C40" s="399"/>
      <c r="D40" s="111"/>
      <c r="E40" s="111"/>
      <c r="F40" s="507">
        <f>SUM(F41:F43)</f>
        <v>3783.0565</v>
      </c>
      <c r="G40" s="508"/>
      <c r="H40" s="113"/>
      <c r="I40" s="114"/>
      <c r="J40" s="116"/>
    </row>
    <row r="41" spans="1:7" s="59" customFormat="1" ht="15">
      <c r="A41" s="34" t="s">
        <v>16</v>
      </c>
      <c r="B41" s="408" t="s">
        <v>198</v>
      </c>
      <c r="C41" s="409"/>
      <c r="D41" s="193"/>
      <c r="E41" s="193"/>
      <c r="F41" s="412">
        <f>E24*1%</f>
        <v>170.78650000000002</v>
      </c>
      <c r="G41" s="412"/>
    </row>
    <row r="42" spans="1:7" s="59" customFormat="1" ht="15">
      <c r="A42" s="34" t="s">
        <v>18</v>
      </c>
      <c r="B42" s="408" t="s">
        <v>310</v>
      </c>
      <c r="C42" s="409"/>
      <c r="D42" s="193" t="s">
        <v>241</v>
      </c>
      <c r="E42" s="193">
        <v>1</v>
      </c>
      <c r="F42" s="412">
        <v>3612.27</v>
      </c>
      <c r="G42" s="412"/>
    </row>
    <row r="43" spans="1:7" s="59" customFormat="1" ht="15">
      <c r="A43" s="34" t="s">
        <v>20</v>
      </c>
      <c r="B43" s="408"/>
      <c r="C43" s="409"/>
      <c r="D43" s="193"/>
      <c r="E43" s="193"/>
      <c r="F43" s="412"/>
      <c r="G43" s="412"/>
    </row>
    <row r="44" s="59" customFormat="1" ht="12.75"/>
    <row r="45" spans="1:6" s="67" customFormat="1" ht="15">
      <c r="A45" s="67" t="s">
        <v>55</v>
      </c>
      <c r="C45" s="127" t="s">
        <v>49</v>
      </c>
      <c r="F45" s="67" t="s">
        <v>93</v>
      </c>
    </row>
    <row r="46" spans="1:7" s="59" customFormat="1" ht="15">
      <c r="A46" s="67"/>
      <c r="B46" s="67"/>
      <c r="C46" s="127"/>
      <c r="D46" s="67"/>
      <c r="E46" s="67"/>
      <c r="F46" s="128" t="s">
        <v>516</v>
      </c>
      <c r="G46" s="67"/>
    </row>
    <row r="47" spans="1:9" s="59" customFormat="1" ht="15">
      <c r="A47" s="67" t="s">
        <v>50</v>
      </c>
      <c r="B47" s="67"/>
      <c r="C47" s="127"/>
      <c r="D47" s="67"/>
      <c r="E47" s="67"/>
      <c r="F47" s="67"/>
      <c r="G47" s="67"/>
      <c r="H47" s="158"/>
      <c r="I47" s="158"/>
    </row>
    <row r="48" spans="1:7" s="59" customFormat="1" ht="15">
      <c r="A48" s="67"/>
      <c r="B48" s="67"/>
      <c r="C48" s="129" t="s">
        <v>51</v>
      </c>
      <c r="D48" s="67"/>
      <c r="E48" s="130"/>
      <c r="F48" s="130"/>
      <c r="G48" s="130"/>
    </row>
    <row r="49" s="59" customFormat="1" ht="12.75"/>
  </sheetData>
  <sheetProtection/>
  <mergeCells count="20">
    <mergeCell ref="A11:I11"/>
    <mergeCell ref="A33:C33"/>
    <mergeCell ref="A37:G37"/>
    <mergeCell ref="A32:F32"/>
    <mergeCell ref="F39:G39"/>
    <mergeCell ref="A1:I1"/>
    <mergeCell ref="A2:I2"/>
    <mergeCell ref="A3:I3"/>
    <mergeCell ref="A5:I5"/>
    <mergeCell ref="A9:I9"/>
    <mergeCell ref="A10:I10"/>
    <mergeCell ref="F43:G43"/>
    <mergeCell ref="B42:C42"/>
    <mergeCell ref="B43:C43"/>
    <mergeCell ref="B41:C41"/>
    <mergeCell ref="B39:C39"/>
    <mergeCell ref="B40:C40"/>
    <mergeCell ref="F40:G40"/>
    <mergeCell ref="F41:G41"/>
    <mergeCell ref="F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7030A0"/>
  </sheetPr>
  <dimension ref="A1:P46"/>
  <sheetViews>
    <sheetView zoomScalePageLayoutView="0" workbookViewId="0" topLeftCell="A19">
      <selection activeCell="G34" sqref="G34"/>
    </sheetView>
  </sheetViews>
  <sheetFormatPr defaultColWidth="9.140625" defaultRowHeight="15" outlineLevelCol="1"/>
  <cols>
    <col min="1" max="1" width="4.8515625" style="57" customWidth="1"/>
    <col min="2" max="2" width="47.7109375" style="57" customWidth="1"/>
    <col min="3" max="3" width="15.8515625" style="57" customWidth="1"/>
    <col min="4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3" s="59" customFormat="1" ht="16.5" customHeight="1">
      <c r="A7" s="59" t="s">
        <v>2</v>
      </c>
      <c r="F7" s="60" t="s">
        <v>462</v>
      </c>
      <c r="H7" s="60"/>
      <c r="L7" s="61"/>
      <c r="M7" s="59" t="s">
        <v>133</v>
      </c>
    </row>
    <row r="8" spans="1:8" s="59" customFormat="1" ht="12.75">
      <c r="A8" s="59" t="s">
        <v>3</v>
      </c>
      <c r="F8" s="310" t="s">
        <v>463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'[2]Дубрава 1а'!$G$35</f>
        <v>3633.5375999999997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79" customFormat="1" ht="28.5">
      <c r="A16" s="75" t="s">
        <v>14</v>
      </c>
      <c r="B16" s="41" t="s">
        <v>15</v>
      </c>
      <c r="C16" s="137">
        <f>C17+C18+C19+C20</f>
        <v>9.53</v>
      </c>
      <c r="D16" s="76">
        <v>2241.42</v>
      </c>
      <c r="E16" s="76">
        <v>2087.99</v>
      </c>
      <c r="F16" s="76">
        <f>D16</f>
        <v>2241.42</v>
      </c>
      <c r="G16" s="77">
        <f>D16-E16</f>
        <v>153.4300000000003</v>
      </c>
      <c r="H16" s="78">
        <f>C16</f>
        <v>9.53</v>
      </c>
      <c r="O16" s="138"/>
      <c r="P16" s="139"/>
    </row>
    <row r="17" spans="1:9" s="59" customFormat="1" ht="15">
      <c r="A17" s="81" t="s">
        <v>16</v>
      </c>
      <c r="B17" s="34" t="s">
        <v>17</v>
      </c>
      <c r="C17" s="99">
        <v>3.34</v>
      </c>
      <c r="D17" s="83">
        <f>D16*I17</f>
        <v>785.5553830010493</v>
      </c>
      <c r="E17" s="83">
        <f>E16*I17</f>
        <v>731.7824344176285</v>
      </c>
      <c r="F17" s="83">
        <f>D17</f>
        <v>785.5553830010493</v>
      </c>
      <c r="G17" s="84">
        <f>D17-E17</f>
        <v>53.772948583420884</v>
      </c>
      <c r="H17" s="78">
        <f>C17</f>
        <v>3.34</v>
      </c>
      <c r="I17" s="59">
        <f>H17/H16</f>
        <v>0.35047219307450156</v>
      </c>
    </row>
    <row r="18" spans="1:9" s="59" customFormat="1" ht="15">
      <c r="A18" s="81" t="s">
        <v>18</v>
      </c>
      <c r="B18" s="34" t="s">
        <v>19</v>
      </c>
      <c r="C18" s="99">
        <v>1.63</v>
      </c>
      <c r="D18" s="83">
        <f>D16*I18</f>
        <v>383.36984260230855</v>
      </c>
      <c r="E18" s="83">
        <f>E16*I18</f>
        <v>357.1273557187828</v>
      </c>
      <c r="F18" s="83">
        <f>D18</f>
        <v>383.36984260230855</v>
      </c>
      <c r="G18" s="84">
        <f>D18-E18</f>
        <v>26.24248688352577</v>
      </c>
      <c r="H18" s="78">
        <f>C18</f>
        <v>1.63</v>
      </c>
      <c r="I18" s="59">
        <f>H18/H16</f>
        <v>0.17103882476390347</v>
      </c>
    </row>
    <row r="19" spans="1:9" s="59" customFormat="1" ht="15">
      <c r="A19" s="81" t="s">
        <v>20</v>
      </c>
      <c r="B19" s="34" t="s">
        <v>21</v>
      </c>
      <c r="C19" s="99">
        <v>1.63</v>
      </c>
      <c r="D19" s="83">
        <f>D16*I19</f>
        <v>383.36984260230855</v>
      </c>
      <c r="E19" s="83">
        <f>E16*I19</f>
        <v>357.1273557187828</v>
      </c>
      <c r="F19" s="83">
        <f>D19</f>
        <v>383.36984260230855</v>
      </c>
      <c r="G19" s="84">
        <f>D19-E19</f>
        <v>26.24248688352577</v>
      </c>
      <c r="H19" s="78">
        <f>C19</f>
        <v>1.63</v>
      </c>
      <c r="I19" s="59">
        <f>H19/H16</f>
        <v>0.17103882476390347</v>
      </c>
    </row>
    <row r="20" spans="1:9" s="59" customFormat="1" ht="15">
      <c r="A20" s="81" t="s">
        <v>22</v>
      </c>
      <c r="B20" s="34" t="s">
        <v>23</v>
      </c>
      <c r="C20" s="99">
        <v>2.93</v>
      </c>
      <c r="D20" s="83">
        <f>D16*I20</f>
        <v>689.1249317943339</v>
      </c>
      <c r="E20" s="83">
        <f>E16*I20</f>
        <v>641.9528541448059</v>
      </c>
      <c r="F20" s="83">
        <f>D20</f>
        <v>689.1249317943339</v>
      </c>
      <c r="G20" s="84">
        <f>D20-E20</f>
        <v>47.17207764952798</v>
      </c>
      <c r="H20" s="78">
        <f>C20</f>
        <v>2.93</v>
      </c>
      <c r="I20" s="59">
        <f>H20/H16</f>
        <v>0.30745015739769155</v>
      </c>
    </row>
    <row r="21" spans="1:7" s="88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</row>
    <row r="22" spans="1:7" s="88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</row>
    <row r="23" spans="1:7" s="88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</row>
    <row r="24" spans="1:7" s="88" customFormat="1" ht="14.25">
      <c r="A24" s="86" t="s">
        <v>31</v>
      </c>
      <c r="B24" s="86" t="s">
        <v>119</v>
      </c>
      <c r="C24" s="87">
        <v>1.8</v>
      </c>
      <c r="D24" s="87">
        <v>423.36</v>
      </c>
      <c r="E24" s="87">
        <v>394.38</v>
      </c>
      <c r="F24" s="87">
        <f>F39</f>
        <v>3.9438</v>
      </c>
      <c r="G24" s="77">
        <f t="shared" si="0"/>
        <v>28.980000000000018</v>
      </c>
    </row>
    <row r="25" spans="1:7" s="98" customFormat="1" ht="14.25">
      <c r="A25" s="41" t="s">
        <v>33</v>
      </c>
      <c r="B25" s="41" t="s">
        <v>168</v>
      </c>
      <c r="C25" s="77">
        <v>0</v>
      </c>
      <c r="D25" s="77">
        <v>0</v>
      </c>
      <c r="E25" s="77">
        <v>0</v>
      </c>
      <c r="F25" s="87">
        <v>0</v>
      </c>
      <c r="G25" s="77">
        <f t="shared" si="0"/>
        <v>0</v>
      </c>
    </row>
    <row r="26" spans="1:7" s="98" customFormat="1" ht="14.25">
      <c r="A26" s="41" t="s">
        <v>35</v>
      </c>
      <c r="B26" s="41" t="s">
        <v>36</v>
      </c>
      <c r="C26" s="77"/>
      <c r="D26" s="77">
        <f>SUM(D27:D30)</f>
        <v>9564.630000000001</v>
      </c>
      <c r="E26" s="77">
        <f>SUM(E27:E30)</f>
        <v>8414.55</v>
      </c>
      <c r="F26" s="77">
        <f>SUM(F27:F30)</f>
        <v>9564.630000000001</v>
      </c>
      <c r="G26" s="77">
        <f t="shared" si="0"/>
        <v>1150.0800000000017</v>
      </c>
    </row>
    <row r="27" spans="1:7" ht="15">
      <c r="A27" s="34" t="s">
        <v>37</v>
      </c>
      <c r="B27" s="34" t="s">
        <v>172</v>
      </c>
      <c r="C27" s="99"/>
      <c r="D27" s="84">
        <v>0</v>
      </c>
      <c r="E27" s="84">
        <v>0</v>
      </c>
      <c r="F27" s="84">
        <f>D27</f>
        <v>0</v>
      </c>
      <c r="G27" s="84">
        <f t="shared" si="0"/>
        <v>0</v>
      </c>
    </row>
    <row r="28" spans="1:7" ht="15">
      <c r="A28" s="34" t="s">
        <v>39</v>
      </c>
      <c r="B28" s="34" t="s">
        <v>142</v>
      </c>
      <c r="C28" s="293">
        <v>49.53</v>
      </c>
      <c r="D28" s="84">
        <v>2974.8</v>
      </c>
      <c r="E28" s="84">
        <v>2726.9</v>
      </c>
      <c r="F28" s="84">
        <f>D28</f>
        <v>2974.8</v>
      </c>
      <c r="G28" s="84">
        <f t="shared" si="0"/>
        <v>247.9000000000001</v>
      </c>
    </row>
    <row r="29" spans="1:7" ht="15">
      <c r="A29" s="34" t="s">
        <v>42</v>
      </c>
      <c r="B29" s="34" t="s">
        <v>143</v>
      </c>
      <c r="C29" s="196"/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93">
        <v>2180.39</v>
      </c>
      <c r="D30" s="84">
        <v>6589.83</v>
      </c>
      <c r="E30" s="84">
        <v>5687.65</v>
      </c>
      <c r="F30" s="84">
        <f>D30</f>
        <v>6589.83</v>
      </c>
      <c r="G30" s="84">
        <f t="shared" si="0"/>
        <v>902.1800000000003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f>D11+D16+D22+D24+D25+D26-E16-E22-E24-E25-E26</f>
        <v>1332.4900000000034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4023.9737999999998</v>
      </c>
      <c r="H34" s="62"/>
      <c r="I34" s="62"/>
    </row>
    <row r="35" spans="1:13" s="102" customFormat="1" ht="9.75" customHeight="1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1" ht="23.25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</row>
    <row r="38" spans="1:14" s="74" customFormat="1" ht="37.5" customHeight="1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N38" s="108"/>
    </row>
    <row r="39" spans="1:14" s="115" customFormat="1" ht="15">
      <c r="A39" s="109" t="s">
        <v>47</v>
      </c>
      <c r="B39" s="396" t="s">
        <v>114</v>
      </c>
      <c r="C39" s="399"/>
      <c r="D39" s="111"/>
      <c r="E39" s="111"/>
      <c r="F39" s="411">
        <f>SUM(F40:G41)</f>
        <v>3.9438</v>
      </c>
      <c r="G39" s="404"/>
      <c r="H39" s="253"/>
      <c r="I39" s="254"/>
      <c r="N39" s="116"/>
    </row>
    <row r="40" spans="1:14" s="115" customFormat="1" ht="15">
      <c r="A40" s="34" t="s">
        <v>16</v>
      </c>
      <c r="B40" s="369"/>
      <c r="C40" s="415"/>
      <c r="D40" s="111"/>
      <c r="E40" s="154"/>
      <c r="F40" s="410"/>
      <c r="G40" s="410"/>
      <c r="H40" s="113"/>
      <c r="I40" s="114"/>
      <c r="N40" s="116"/>
    </row>
    <row r="41" spans="1:7" s="59" customFormat="1" ht="15">
      <c r="A41" s="34" t="s">
        <v>18</v>
      </c>
      <c r="B41" s="408" t="s">
        <v>198</v>
      </c>
      <c r="C41" s="409"/>
      <c r="D41" s="125"/>
      <c r="E41" s="125"/>
      <c r="F41" s="410">
        <f>E24*1%</f>
        <v>3.9438</v>
      </c>
      <c r="G41" s="410"/>
    </row>
    <row r="42" s="59" customFormat="1" ht="12.75"/>
    <row r="43" spans="1:6" s="67" customFormat="1" ht="15">
      <c r="A43" s="67" t="s">
        <v>55</v>
      </c>
      <c r="C43" s="127" t="s">
        <v>49</v>
      </c>
      <c r="F43" s="67" t="s">
        <v>93</v>
      </c>
    </row>
    <row r="44" spans="1:7" s="59" customFormat="1" ht="15">
      <c r="A44" s="67"/>
      <c r="B44" s="67"/>
      <c r="C44" s="127"/>
      <c r="D44" s="67"/>
      <c r="E44" s="67"/>
      <c r="F44" s="128" t="s">
        <v>516</v>
      </c>
      <c r="G44" s="67"/>
    </row>
    <row r="45" spans="1:10" s="59" customFormat="1" ht="15">
      <c r="A45" s="67" t="s">
        <v>50</v>
      </c>
      <c r="B45" s="67"/>
      <c r="C45" s="127"/>
      <c r="D45" s="67"/>
      <c r="E45" s="67"/>
      <c r="F45" s="67"/>
      <c r="G45" s="67"/>
      <c r="H45" s="158"/>
      <c r="I45" s="158"/>
      <c r="J45" s="158"/>
    </row>
    <row r="46" spans="1:7" s="59" customFormat="1" ht="15">
      <c r="A46" s="67"/>
      <c r="B46" s="67"/>
      <c r="C46" s="129" t="s">
        <v>51</v>
      </c>
      <c r="D46" s="67"/>
      <c r="E46" s="130"/>
      <c r="F46" s="130"/>
      <c r="G46" s="130"/>
    </row>
    <row r="47" s="59" customFormat="1" ht="12.75"/>
  </sheetData>
  <sheetProtection/>
  <mergeCells count="17">
    <mergeCell ref="F39:G39"/>
    <mergeCell ref="A10:K10"/>
    <mergeCell ref="A11:K11"/>
    <mergeCell ref="A32:C32"/>
    <mergeCell ref="A36:K36"/>
    <mergeCell ref="B38:C38"/>
    <mergeCell ref="F38:G38"/>
    <mergeCell ref="B40:C40"/>
    <mergeCell ref="F40:G40"/>
    <mergeCell ref="B41:C41"/>
    <mergeCell ref="F41:G41"/>
    <mergeCell ref="A1:K1"/>
    <mergeCell ref="A2:K2"/>
    <mergeCell ref="A3:K3"/>
    <mergeCell ref="A5:K5"/>
    <mergeCell ref="A9:K9"/>
    <mergeCell ref="B39:C3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54"/>
  <sheetViews>
    <sheetView zoomScalePageLayoutView="0" workbookViewId="0" topLeftCell="A31">
      <selection activeCell="G36" sqref="G36"/>
    </sheetView>
  </sheetViews>
  <sheetFormatPr defaultColWidth="9.140625" defaultRowHeight="15" outlineLevelCol="1"/>
  <cols>
    <col min="1" max="1" width="5.7109375" style="35" customWidth="1"/>
    <col min="2" max="2" width="39.7109375" style="35" customWidth="1"/>
    <col min="3" max="3" width="14.00390625" style="35" customWidth="1"/>
    <col min="4" max="4" width="12.7109375" style="35" customWidth="1"/>
    <col min="5" max="5" width="13.140625" style="35" customWidth="1"/>
    <col min="6" max="6" width="14.57421875" style="35" customWidth="1"/>
    <col min="7" max="7" width="14.421875" style="35" customWidth="1"/>
    <col min="8" max="8" width="10.140625" style="35" hidden="1" customWidth="1" outlineLevel="1"/>
    <col min="9" max="9" width="9.421875" style="35" hidden="1" customWidth="1" outlineLevel="1"/>
    <col min="10" max="10" width="11.28125" style="35" bestFit="1" customWidth="1" collapsed="1"/>
    <col min="11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9" ht="12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</row>
    <row r="4" spans="1:9" ht="12" customHeight="1">
      <c r="A4" s="389" t="s">
        <v>1</v>
      </c>
      <c r="B4" s="388"/>
      <c r="C4" s="388"/>
      <c r="D4" s="388"/>
      <c r="E4" s="388"/>
      <c r="F4" s="388"/>
      <c r="G4" s="388"/>
      <c r="H4" s="388"/>
      <c r="I4" s="388"/>
    </row>
    <row r="5" ht="4.5" customHeight="1"/>
    <row r="6" spans="1:6" s="67" customFormat="1" ht="16.5" customHeight="1">
      <c r="A6" s="67" t="s">
        <v>2</v>
      </c>
      <c r="F6" s="128" t="s">
        <v>59</v>
      </c>
    </row>
    <row r="7" spans="1:6" s="67" customFormat="1" ht="15">
      <c r="A7" s="67" t="s">
        <v>3</v>
      </c>
      <c r="F7" s="128" t="s">
        <v>332</v>
      </c>
    </row>
    <row r="8" s="67" customFormat="1" ht="15"/>
    <row r="9" spans="1:9" s="67" customFormat="1" ht="15">
      <c r="A9" s="368" t="s">
        <v>8</v>
      </c>
      <c r="B9" s="368"/>
      <c r="C9" s="368"/>
      <c r="D9" s="368"/>
      <c r="E9" s="368"/>
      <c r="F9" s="368"/>
      <c r="G9" s="368"/>
      <c r="H9" s="368"/>
      <c r="I9" s="368"/>
    </row>
    <row r="10" spans="1:9" s="67" customFormat="1" ht="1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9" customHeight="1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312</v>
      </c>
      <c r="B13" s="64"/>
      <c r="C13" s="64"/>
      <c r="D13" s="69"/>
      <c r="E13" s="70"/>
      <c r="F13" s="70"/>
      <c r="G13" s="146">
        <f>'[1]Пионерская 15'!$G$36</f>
        <v>94418.53</v>
      </c>
      <c r="H13" s="62"/>
      <c r="I13" s="62"/>
    </row>
    <row r="14" spans="1:9" s="67" customFormat="1" ht="15.75" thickBot="1">
      <c r="A14" s="63" t="s">
        <v>313</v>
      </c>
      <c r="B14" s="64"/>
      <c r="C14" s="64"/>
      <c r="D14" s="69"/>
      <c r="E14" s="70"/>
      <c r="F14" s="70"/>
      <c r="G14" s="146">
        <f>'[1]Пионерская 15'!$G$37</f>
        <v>-4293.223099999988</v>
      </c>
      <c r="H14" s="62"/>
      <c r="I14" s="62"/>
    </row>
    <row r="15" s="67" customFormat="1" ht="6.75" customHeight="1"/>
    <row r="16" spans="1:7" s="74" customFormat="1" ht="38.25">
      <c r="A16" s="72" t="s">
        <v>11</v>
      </c>
      <c r="B16" s="72" t="s">
        <v>12</v>
      </c>
      <c r="C16" s="72" t="s">
        <v>94</v>
      </c>
      <c r="D16" s="72" t="s">
        <v>374</v>
      </c>
      <c r="E16" s="72" t="s">
        <v>375</v>
      </c>
      <c r="F16" s="73" t="s">
        <v>376</v>
      </c>
      <c r="G16" s="72" t="s">
        <v>377</v>
      </c>
    </row>
    <row r="17" spans="1:8" s="169" customFormat="1" ht="14.25" customHeight="1">
      <c r="A17" s="75" t="s">
        <v>14</v>
      </c>
      <c r="B17" s="41" t="s">
        <v>15</v>
      </c>
      <c r="C17" s="137">
        <f>C18+C19+C20+C21</f>
        <v>9.879999999999999</v>
      </c>
      <c r="D17" s="76">
        <v>473468.01</v>
      </c>
      <c r="E17" s="76">
        <v>460535.62</v>
      </c>
      <c r="F17" s="76">
        <f>D17</f>
        <v>473468.01</v>
      </c>
      <c r="G17" s="77">
        <f>D17-E17</f>
        <v>12932.390000000014</v>
      </c>
      <c r="H17" s="147">
        <f>C17</f>
        <v>9.879999999999999</v>
      </c>
    </row>
    <row r="18" spans="1:9" s="67" customFormat="1" ht="14.25" customHeight="1">
      <c r="A18" s="81" t="s">
        <v>16</v>
      </c>
      <c r="B18" s="34" t="s">
        <v>17</v>
      </c>
      <c r="C18" s="99">
        <v>3.46</v>
      </c>
      <c r="D18" s="83">
        <f>D17*I18</f>
        <v>165809.64722672067</v>
      </c>
      <c r="E18" s="83">
        <f>E17*I18</f>
        <v>161280.6928340081</v>
      </c>
      <c r="F18" s="83">
        <f>D18</f>
        <v>165809.64722672067</v>
      </c>
      <c r="G18" s="84">
        <f>D18-E18</f>
        <v>4528.954392712563</v>
      </c>
      <c r="H18" s="147">
        <f>C18</f>
        <v>3.46</v>
      </c>
      <c r="I18" s="67">
        <f>H18/H17</f>
        <v>0.3502024291497976</v>
      </c>
    </row>
    <row r="19" spans="1:9" s="67" customFormat="1" ht="14.25" customHeight="1">
      <c r="A19" s="81" t="s">
        <v>18</v>
      </c>
      <c r="B19" s="34" t="s">
        <v>19</v>
      </c>
      <c r="C19" s="99">
        <v>1.69</v>
      </c>
      <c r="D19" s="83">
        <f>D17*I19</f>
        <v>80987.94907894738</v>
      </c>
      <c r="E19" s="83">
        <f>E17*I19</f>
        <v>78775.8297368421</v>
      </c>
      <c r="F19" s="83">
        <f>D19</f>
        <v>80987.94907894738</v>
      </c>
      <c r="G19" s="84">
        <f>D19-E19</f>
        <v>2212.119342105274</v>
      </c>
      <c r="H19" s="147">
        <f>C19</f>
        <v>1.69</v>
      </c>
      <c r="I19" s="67">
        <f>H19/H17</f>
        <v>0.17105263157894737</v>
      </c>
    </row>
    <row r="20" spans="1:9" s="67" customFormat="1" ht="14.25" customHeight="1">
      <c r="A20" s="81" t="s">
        <v>20</v>
      </c>
      <c r="B20" s="34" t="s">
        <v>21</v>
      </c>
      <c r="C20" s="99">
        <v>1.69</v>
      </c>
      <c r="D20" s="83">
        <f>D17*I20</f>
        <v>80987.94907894738</v>
      </c>
      <c r="E20" s="83">
        <f>E17*I20</f>
        <v>78775.8297368421</v>
      </c>
      <c r="F20" s="83">
        <f>D20</f>
        <v>80987.94907894738</v>
      </c>
      <c r="G20" s="84">
        <f>D20-E20</f>
        <v>2212.119342105274</v>
      </c>
      <c r="H20" s="147">
        <f>C20</f>
        <v>1.69</v>
      </c>
      <c r="I20" s="67">
        <f>H20/H17</f>
        <v>0.17105263157894737</v>
      </c>
    </row>
    <row r="21" spans="1:9" s="67" customFormat="1" ht="15">
      <c r="A21" s="81" t="s">
        <v>22</v>
      </c>
      <c r="B21" s="34" t="s">
        <v>23</v>
      </c>
      <c r="C21" s="99">
        <v>3.04</v>
      </c>
      <c r="D21" s="83">
        <f>D17*I21</f>
        <v>145682.46461538464</v>
      </c>
      <c r="E21" s="83">
        <f>E17*I21</f>
        <v>141703.2676923077</v>
      </c>
      <c r="F21" s="83">
        <f>D21</f>
        <v>145682.46461538464</v>
      </c>
      <c r="G21" s="84">
        <f>D21-E21</f>
        <v>3979.196923076932</v>
      </c>
      <c r="H21" s="147">
        <f>C21</f>
        <v>3.04</v>
      </c>
      <c r="I21" s="67">
        <f>H21/H17</f>
        <v>0.3076923076923077</v>
      </c>
    </row>
    <row r="22" spans="1:7" s="39" customFormat="1" ht="14.25" customHeight="1">
      <c r="A22" s="41" t="s">
        <v>25</v>
      </c>
      <c r="B22" s="142" t="s">
        <v>311</v>
      </c>
      <c r="C22" s="143">
        <v>0</v>
      </c>
      <c r="D22" s="77">
        <v>0</v>
      </c>
      <c r="E22" s="77">
        <v>0.08</v>
      </c>
      <c r="F22" s="76">
        <f aca="true" t="shared" si="0" ref="F22:F31">D22</f>
        <v>0</v>
      </c>
      <c r="G22" s="77">
        <f aca="true" t="shared" si="1" ref="G22:G31">D22-E22</f>
        <v>-0.08</v>
      </c>
    </row>
    <row r="23" spans="1:7" s="39" customFormat="1" ht="14.25" customHeight="1">
      <c r="A23" s="41" t="s">
        <v>27</v>
      </c>
      <c r="B23" s="142" t="s">
        <v>28</v>
      </c>
      <c r="C23" s="143" t="s">
        <v>395</v>
      </c>
      <c r="D23" s="77">
        <v>0</v>
      </c>
      <c r="E23" s="77">
        <v>0</v>
      </c>
      <c r="F23" s="76">
        <f>D23</f>
        <v>0</v>
      </c>
      <c r="G23" s="77">
        <f t="shared" si="1"/>
        <v>0</v>
      </c>
    </row>
    <row r="24" spans="1:9" s="39" customFormat="1" ht="14.25" customHeight="1">
      <c r="A24" s="41" t="s">
        <v>29</v>
      </c>
      <c r="B24" s="142" t="s">
        <v>168</v>
      </c>
      <c r="C24" s="143">
        <v>1.86</v>
      </c>
      <c r="D24" s="77">
        <v>0</v>
      </c>
      <c r="E24" s="77">
        <v>0</v>
      </c>
      <c r="F24" s="76">
        <f t="shared" si="0"/>
        <v>0</v>
      </c>
      <c r="G24" s="77">
        <f t="shared" si="1"/>
        <v>0</v>
      </c>
      <c r="H24" s="39">
        <f>39.62+1902.11</f>
        <v>1941.7299999999998</v>
      </c>
      <c r="I24" s="39">
        <f>H24/3919.4</f>
        <v>0.4954151145583507</v>
      </c>
    </row>
    <row r="25" spans="1:10" s="39" customFormat="1" ht="14.25" customHeight="1">
      <c r="A25" s="41" t="s">
        <v>31</v>
      </c>
      <c r="B25" s="142" t="s">
        <v>119</v>
      </c>
      <c r="C25" s="97">
        <v>1.8</v>
      </c>
      <c r="D25" s="77">
        <v>86540.16</v>
      </c>
      <c r="E25" s="77">
        <v>86798.71</v>
      </c>
      <c r="F25" s="76">
        <f>F41</f>
        <v>136834.14709999997</v>
      </c>
      <c r="G25" s="77">
        <f t="shared" si="1"/>
        <v>-258.5500000000029</v>
      </c>
      <c r="J25" s="184"/>
    </row>
    <row r="26" spans="1:7" s="39" customFormat="1" ht="14.25" customHeight="1">
      <c r="A26" s="41" t="s">
        <v>33</v>
      </c>
      <c r="B26" s="136" t="s">
        <v>34</v>
      </c>
      <c r="C26" s="46">
        <v>0</v>
      </c>
      <c r="D26" s="77">
        <v>0</v>
      </c>
      <c r="E26" s="77">
        <v>0.01</v>
      </c>
      <c r="F26" s="76">
        <f>D26</f>
        <v>0</v>
      </c>
      <c r="G26" s="77">
        <f t="shared" si="1"/>
        <v>-0.01</v>
      </c>
    </row>
    <row r="27" spans="1:7" s="39" customFormat="1" ht="14.25" customHeight="1">
      <c r="A27" s="41" t="s">
        <v>35</v>
      </c>
      <c r="B27" s="136" t="s">
        <v>36</v>
      </c>
      <c r="C27" s="97"/>
      <c r="D27" s="77">
        <f>SUM(D28:D31)</f>
        <v>1883415.75</v>
      </c>
      <c r="E27" s="77">
        <f>SUM(E28:E31)</f>
        <v>1894310.58</v>
      </c>
      <c r="F27" s="76">
        <f t="shared" si="0"/>
        <v>1883415.75</v>
      </c>
      <c r="G27" s="77">
        <f t="shared" si="1"/>
        <v>-10894.830000000075</v>
      </c>
    </row>
    <row r="28" spans="1:7" ht="14.25" customHeight="1">
      <c r="A28" s="34" t="s">
        <v>37</v>
      </c>
      <c r="B28" s="34" t="s">
        <v>172</v>
      </c>
      <c r="C28" s="293" t="s">
        <v>379</v>
      </c>
      <c r="D28" s="84">
        <v>42135.89</v>
      </c>
      <c r="E28" s="84">
        <v>42395.04</v>
      </c>
      <c r="F28" s="83">
        <f>D28</f>
        <v>42135.89</v>
      </c>
      <c r="G28" s="84">
        <f t="shared" si="1"/>
        <v>-259.15000000000146</v>
      </c>
    </row>
    <row r="29" spans="1:7" ht="14.25" customHeight="1">
      <c r="A29" s="34" t="s">
        <v>39</v>
      </c>
      <c r="B29" s="34" t="s">
        <v>142</v>
      </c>
      <c r="C29" s="293" t="s">
        <v>382</v>
      </c>
      <c r="D29" s="84">
        <v>505082.18</v>
      </c>
      <c r="E29" s="84">
        <v>511853.13</v>
      </c>
      <c r="F29" s="83">
        <f t="shared" si="0"/>
        <v>505082.18</v>
      </c>
      <c r="G29" s="84">
        <f t="shared" si="1"/>
        <v>-6770.950000000012</v>
      </c>
    </row>
    <row r="30" spans="1:7" ht="14.25" customHeight="1">
      <c r="A30" s="34" t="s">
        <v>42</v>
      </c>
      <c r="B30" s="34" t="s">
        <v>40</v>
      </c>
      <c r="C30" s="145">
        <v>0</v>
      </c>
      <c r="D30" s="84">
        <v>0</v>
      </c>
      <c r="E30" s="84">
        <v>0</v>
      </c>
      <c r="F30" s="83">
        <f t="shared" si="0"/>
        <v>0</v>
      </c>
      <c r="G30" s="84">
        <f t="shared" si="1"/>
        <v>0</v>
      </c>
    </row>
    <row r="31" spans="1:7" ht="14.25" customHeight="1">
      <c r="A31" s="34" t="s">
        <v>41</v>
      </c>
      <c r="B31" s="34" t="s">
        <v>43</v>
      </c>
      <c r="C31" s="293" t="s">
        <v>380</v>
      </c>
      <c r="D31" s="84">
        <v>1336197.68</v>
      </c>
      <c r="E31" s="84">
        <v>1340062.41</v>
      </c>
      <c r="F31" s="83">
        <f t="shared" si="0"/>
        <v>1336197.68</v>
      </c>
      <c r="G31" s="84">
        <f t="shared" si="1"/>
        <v>-3864.7299999999814</v>
      </c>
    </row>
    <row r="32" spans="1:9" s="102" customFormat="1" ht="15" customHeight="1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</row>
    <row r="33" spans="1:9" s="67" customFormat="1" ht="15.75" thickBot="1">
      <c r="A33" s="378" t="s">
        <v>331</v>
      </c>
      <c r="B33" s="379"/>
      <c r="C33" s="379"/>
      <c r="D33" s="146">
        <v>483769.19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386</v>
      </c>
      <c r="B35" s="64"/>
      <c r="C35" s="64"/>
      <c r="D35" s="69"/>
      <c r="E35" s="70"/>
      <c r="F35" s="70"/>
      <c r="G35" s="146">
        <f>G13+E26-F26</f>
        <v>94418.54</v>
      </c>
      <c r="H35" s="62"/>
      <c r="I35" s="62"/>
    </row>
    <row r="36" spans="1:9" s="67" customFormat="1" ht="15.75" thickBot="1">
      <c r="A36" s="63" t="s">
        <v>387</v>
      </c>
      <c r="B36" s="64"/>
      <c r="C36" s="64"/>
      <c r="D36" s="69"/>
      <c r="E36" s="70"/>
      <c r="F36" s="70"/>
      <c r="G36" s="146">
        <f>G14+E25+F25</f>
        <v>219339.634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ht="31.5" customHeight="1">
      <c r="A38" s="367" t="s">
        <v>44</v>
      </c>
      <c r="B38" s="403"/>
      <c r="C38" s="403"/>
      <c r="D38" s="403"/>
      <c r="E38" s="403"/>
      <c r="F38" s="403"/>
      <c r="G38" s="403"/>
      <c r="H38" s="58"/>
      <c r="I38" s="58"/>
    </row>
    <row r="39" ht="9" customHeight="1"/>
    <row r="40" spans="1:7" s="173" customFormat="1" ht="28.5" customHeight="1">
      <c r="A40" s="105" t="s">
        <v>11</v>
      </c>
      <c r="B40" s="179" t="s">
        <v>45</v>
      </c>
      <c r="C40" s="180"/>
      <c r="D40" s="105" t="s">
        <v>170</v>
      </c>
      <c r="E40" s="105" t="s">
        <v>169</v>
      </c>
      <c r="F40" s="394" t="s">
        <v>46</v>
      </c>
      <c r="G40" s="404"/>
    </row>
    <row r="41" spans="1:7" s="115" customFormat="1" ht="15" customHeight="1">
      <c r="A41" s="109">
        <v>1</v>
      </c>
      <c r="B41" s="396" t="s">
        <v>114</v>
      </c>
      <c r="C41" s="399"/>
      <c r="D41" s="109"/>
      <c r="E41" s="109"/>
      <c r="F41" s="411">
        <f>SUM(F42:G46)</f>
        <v>136834.14709999997</v>
      </c>
      <c r="G41" s="404"/>
    </row>
    <row r="42" spans="1:7" ht="15.75" customHeight="1">
      <c r="A42" s="34" t="s">
        <v>16</v>
      </c>
      <c r="B42" s="185" t="s">
        <v>547</v>
      </c>
      <c r="C42" s="186"/>
      <c r="D42" s="126" t="s">
        <v>265</v>
      </c>
      <c r="E42" s="187">
        <v>1.2</v>
      </c>
      <c r="F42" s="410">
        <v>105872.26</v>
      </c>
      <c r="G42" s="410"/>
    </row>
    <row r="43" spans="1:7" ht="15.75" customHeight="1">
      <c r="A43" s="34" t="s">
        <v>18</v>
      </c>
      <c r="B43" s="185" t="s">
        <v>175</v>
      </c>
      <c r="C43" s="186"/>
      <c r="D43" s="126" t="s">
        <v>171</v>
      </c>
      <c r="E43" s="187">
        <v>1</v>
      </c>
      <c r="F43" s="410">
        <v>4093.9</v>
      </c>
      <c r="G43" s="410"/>
    </row>
    <row r="44" spans="1:7" ht="15.75" customHeight="1">
      <c r="A44" s="34" t="s">
        <v>20</v>
      </c>
      <c r="B44" s="185" t="s">
        <v>792</v>
      </c>
      <c r="C44" s="186"/>
      <c r="D44" s="126"/>
      <c r="E44" s="187"/>
      <c r="F44" s="410">
        <v>16000</v>
      </c>
      <c r="G44" s="410"/>
    </row>
    <row r="45" spans="1:7" ht="15.75" customHeight="1">
      <c r="A45" s="34" t="s">
        <v>22</v>
      </c>
      <c r="B45" s="185" t="s">
        <v>840</v>
      </c>
      <c r="C45" s="186"/>
      <c r="D45" s="126"/>
      <c r="E45" s="187"/>
      <c r="F45" s="410">
        <v>10000</v>
      </c>
      <c r="G45" s="410"/>
    </row>
    <row r="46" spans="1:7" ht="15.75" customHeight="1">
      <c r="A46" s="34" t="s">
        <v>24</v>
      </c>
      <c r="B46" s="150" t="s">
        <v>198</v>
      </c>
      <c r="C46" s="151"/>
      <c r="D46" s="119"/>
      <c r="E46" s="119"/>
      <c r="F46" s="410">
        <f>E25*1%</f>
        <v>867.9871</v>
      </c>
      <c r="G46" s="410"/>
    </row>
    <row r="47" spans="1:7" ht="15.75" customHeight="1">
      <c r="A47" s="170"/>
      <c r="B47" s="182"/>
      <c r="C47" s="182"/>
      <c r="D47" s="182"/>
      <c r="E47" s="182"/>
      <c r="F47" s="183"/>
      <c r="G47" s="183"/>
    </row>
    <row r="48" spans="2:5" ht="9" customHeight="1">
      <c r="B48" s="156"/>
      <c r="C48" s="156"/>
      <c r="D48" s="156"/>
      <c r="E48" s="156"/>
    </row>
    <row r="49" spans="1:5" s="67" customFormat="1" ht="15">
      <c r="A49" s="67" t="s">
        <v>55</v>
      </c>
      <c r="C49" s="67" t="s">
        <v>49</v>
      </c>
      <c r="E49" s="67" t="s">
        <v>93</v>
      </c>
    </row>
    <row r="50" s="67" customFormat="1" ht="7.5" customHeight="1"/>
    <row r="51" s="67" customFormat="1" ht="13.5" customHeight="1">
      <c r="F51" s="128" t="s">
        <v>516</v>
      </c>
    </row>
    <row r="52" s="67" customFormat="1" ht="7.5" customHeight="1"/>
    <row r="53" s="67" customFormat="1" ht="15">
      <c r="A53" s="67" t="s">
        <v>50</v>
      </c>
    </row>
    <row r="54" spans="3:7" s="67" customFormat="1" ht="15">
      <c r="C54" s="130" t="s">
        <v>51</v>
      </c>
      <c r="E54" s="130"/>
      <c r="F54" s="130"/>
      <c r="G54" s="130"/>
    </row>
    <row r="55" s="67" customFormat="1" ht="15"/>
    <row r="56" s="67" customFormat="1" ht="15"/>
  </sheetData>
  <sheetProtection/>
  <mergeCells count="18">
    <mergeCell ref="F44:G44"/>
    <mergeCell ref="A32:F32"/>
    <mergeCell ref="A10:I10"/>
    <mergeCell ref="A1:I1"/>
    <mergeCell ref="A2:I2"/>
    <mergeCell ref="A4:I4"/>
    <mergeCell ref="A9:I9"/>
    <mergeCell ref="A3:I3"/>
    <mergeCell ref="F46:G46"/>
    <mergeCell ref="F42:G42"/>
    <mergeCell ref="F41:G41"/>
    <mergeCell ref="A11:I11"/>
    <mergeCell ref="F40:G40"/>
    <mergeCell ref="A33:C33"/>
    <mergeCell ref="B41:C41"/>
    <mergeCell ref="A38:G38"/>
    <mergeCell ref="F43:G43"/>
    <mergeCell ref="F45:G45"/>
  </mergeCells>
  <printOptions/>
  <pageMargins left="0.7874015748031497" right="0" top="0.5905511811023623" bottom="0.5905511811023623" header="0.31496062992125984" footer="0.31496062992125984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7030A0"/>
  </sheetPr>
  <dimension ref="A1:P46"/>
  <sheetViews>
    <sheetView zoomScalePageLayoutView="0" workbookViewId="0" topLeftCell="A27">
      <selection activeCell="G34" sqref="G34"/>
    </sheetView>
  </sheetViews>
  <sheetFormatPr defaultColWidth="9.140625" defaultRowHeight="15" outlineLevelCol="1"/>
  <cols>
    <col min="1" max="1" width="4.8515625" style="57" customWidth="1"/>
    <col min="2" max="2" width="48.57421875" style="57" customWidth="1"/>
    <col min="3" max="3" width="15.8515625" style="57" customWidth="1"/>
    <col min="4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2" s="59" customFormat="1" ht="16.5" customHeight="1">
      <c r="A7" s="59" t="s">
        <v>2</v>
      </c>
      <c r="F7" s="60" t="s">
        <v>182</v>
      </c>
      <c r="H7" s="60"/>
      <c r="L7" s="61"/>
    </row>
    <row r="8" spans="1:8" s="59" customFormat="1" ht="12.75">
      <c r="A8" s="59" t="s">
        <v>3</v>
      </c>
      <c r="F8" s="310" t="s">
        <v>333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'[1]Дубрава 2'!$G$35</f>
        <v>146979.1567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79" customFormat="1" ht="14.25">
      <c r="A16" s="75" t="s">
        <v>14</v>
      </c>
      <c r="B16" s="41" t="s">
        <v>15</v>
      </c>
      <c r="C16" s="137">
        <f>C17+C18+C19+C20</f>
        <v>9.879999999999999</v>
      </c>
      <c r="D16" s="76">
        <v>93975.28</v>
      </c>
      <c r="E16" s="76">
        <v>89456.84</v>
      </c>
      <c r="F16" s="76">
        <f>D16</f>
        <v>93975.28</v>
      </c>
      <c r="G16" s="77">
        <f>D16-E16</f>
        <v>4518.440000000002</v>
      </c>
      <c r="H16" s="78">
        <f>C16</f>
        <v>9.879999999999999</v>
      </c>
      <c r="O16" s="138"/>
      <c r="P16" s="139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32910.37133603239</v>
      </c>
      <c r="E17" s="83">
        <f>E16*I17</f>
        <v>31328.00267206478</v>
      </c>
      <c r="F17" s="83">
        <f>D17</f>
        <v>32910.37133603239</v>
      </c>
      <c r="G17" s="84">
        <f>D17-E17</f>
        <v>1582.3686639676089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16074.718947368421</v>
      </c>
      <c r="E18" s="83">
        <f>E16*I18</f>
        <v>15301.827894736842</v>
      </c>
      <c r="F18" s="83">
        <f>D18</f>
        <v>16074.718947368421</v>
      </c>
      <c r="G18" s="84">
        <f>D18-E18</f>
        <v>772.8910526315794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16074.718947368421</v>
      </c>
      <c r="E19" s="83">
        <f>E16*I19</f>
        <v>15301.827894736842</v>
      </c>
      <c r="F19" s="83">
        <f>D19</f>
        <v>16074.718947368421</v>
      </c>
      <c r="G19" s="84">
        <f>D19-E19</f>
        <v>772.8910526315794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28915.47076923077</v>
      </c>
      <c r="E20" s="83">
        <f>E16*I20</f>
        <v>27525.18153846154</v>
      </c>
      <c r="F20" s="83">
        <f>D20</f>
        <v>28915.47076923077</v>
      </c>
      <c r="G20" s="84">
        <f>D20-E20</f>
        <v>1390.289230769231</v>
      </c>
      <c r="H20" s="78">
        <f>C20</f>
        <v>3.04</v>
      </c>
      <c r="I20" s="59">
        <f>H20/H16</f>
        <v>0.3076923076923077</v>
      </c>
    </row>
    <row r="21" spans="1:7" s="88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</row>
    <row r="22" spans="1:7" s="88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</row>
    <row r="23" spans="1:7" s="88" customFormat="1" ht="14.25">
      <c r="A23" s="86" t="s">
        <v>29</v>
      </c>
      <c r="B23" s="86" t="s">
        <v>299</v>
      </c>
      <c r="C23" s="143">
        <v>0</v>
      </c>
      <c r="D23" s="87">
        <v>0</v>
      </c>
      <c r="E23" s="87">
        <v>19810.78</v>
      </c>
      <c r="F23" s="87">
        <v>0</v>
      </c>
      <c r="G23" s="77">
        <f t="shared" si="0"/>
        <v>-19810.78</v>
      </c>
    </row>
    <row r="24" spans="1:7" s="88" customFormat="1" ht="14.25">
      <c r="A24" s="86" t="s">
        <v>31</v>
      </c>
      <c r="B24" s="86" t="s">
        <v>119</v>
      </c>
      <c r="C24" s="87">
        <v>1.86</v>
      </c>
      <c r="D24" s="87">
        <v>17661.8</v>
      </c>
      <c r="E24" s="87">
        <v>16690.87</v>
      </c>
      <c r="F24" s="87">
        <f>F39-F23</f>
        <v>69084.9087</v>
      </c>
      <c r="G24" s="77">
        <f t="shared" si="0"/>
        <v>970.9300000000003</v>
      </c>
    </row>
    <row r="25" spans="1:7" s="98" customFormat="1" ht="14.25">
      <c r="A25" s="41" t="s">
        <v>33</v>
      </c>
      <c r="B25" s="41" t="s">
        <v>168</v>
      </c>
      <c r="C25" s="77">
        <v>12.54</v>
      </c>
      <c r="D25" s="77">
        <v>0</v>
      </c>
      <c r="E25" s="77">
        <v>0</v>
      </c>
      <c r="F25" s="87">
        <v>0</v>
      </c>
      <c r="G25" s="77">
        <f t="shared" si="0"/>
        <v>0</v>
      </c>
    </row>
    <row r="26" spans="1:7" s="98" customFormat="1" ht="14.25">
      <c r="A26" s="41" t="s">
        <v>35</v>
      </c>
      <c r="B26" s="41" t="s">
        <v>36</v>
      </c>
      <c r="C26" s="77"/>
      <c r="D26" s="77">
        <f>SUM(D27:D30)</f>
        <v>359086.42000000004</v>
      </c>
      <c r="E26" s="77">
        <f>SUM(E27:E30)</f>
        <v>397949.58</v>
      </c>
      <c r="F26" s="77">
        <f>SUM(F27:F30)</f>
        <v>359086.42000000004</v>
      </c>
      <c r="G26" s="77">
        <f t="shared" si="0"/>
        <v>-38863.159999999974</v>
      </c>
    </row>
    <row r="27" spans="1:7" ht="15">
      <c r="A27" s="34" t="s">
        <v>37</v>
      </c>
      <c r="B27" s="34" t="s">
        <v>172</v>
      </c>
      <c r="C27" s="293" t="s">
        <v>379</v>
      </c>
      <c r="D27" s="84">
        <v>2483.22</v>
      </c>
      <c r="E27" s="84">
        <v>2351.31</v>
      </c>
      <c r="F27" s="84">
        <f>D27</f>
        <v>2483.22</v>
      </c>
      <c r="G27" s="84">
        <f t="shared" si="0"/>
        <v>131.90999999999985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69981.56</v>
      </c>
      <c r="E28" s="84">
        <v>93333.77</v>
      </c>
      <c r="F28" s="84">
        <f>D28</f>
        <v>69981.56</v>
      </c>
      <c r="G28" s="84">
        <f t="shared" si="0"/>
        <v>-23352.210000000006</v>
      </c>
    </row>
    <row r="29" spans="1:7" ht="15">
      <c r="A29" s="34" t="s">
        <v>42</v>
      </c>
      <c r="B29" s="34" t="s">
        <v>143</v>
      </c>
      <c r="C29" s="294"/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286621.64</v>
      </c>
      <c r="E30" s="84">
        <v>302264.5</v>
      </c>
      <c r="F30" s="84">
        <f>D30</f>
        <v>286621.64</v>
      </c>
      <c r="G30" s="84">
        <f t="shared" si="0"/>
        <v>-15642.859999999986</v>
      </c>
    </row>
    <row r="31" spans="1:9" s="102" customFormat="1" ht="20.2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241115.1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G13+E24-F24+E23-F23</f>
        <v>114395.89799999999</v>
      </c>
      <c r="H34" s="62"/>
      <c r="I34" s="62"/>
    </row>
    <row r="35" spans="1:13" s="102" customFormat="1" ht="9.75" customHeight="1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1" ht="28.5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</row>
    <row r="38" spans="1:14" s="74" customFormat="1" ht="37.5" customHeight="1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N38" s="108"/>
    </row>
    <row r="39" spans="1:14" s="115" customFormat="1" ht="15">
      <c r="A39" s="109" t="s">
        <v>47</v>
      </c>
      <c r="B39" s="396" t="s">
        <v>114</v>
      </c>
      <c r="C39" s="399"/>
      <c r="D39" s="111"/>
      <c r="E39" s="111"/>
      <c r="F39" s="411">
        <f>SUM(F40:G41)</f>
        <v>69084.9087</v>
      </c>
      <c r="G39" s="404"/>
      <c r="H39" s="253"/>
      <c r="I39" s="254"/>
      <c r="N39" s="116"/>
    </row>
    <row r="40" spans="1:7" ht="15">
      <c r="A40" s="34" t="s">
        <v>16</v>
      </c>
      <c r="B40" s="369" t="s">
        <v>242</v>
      </c>
      <c r="C40" s="371"/>
      <c r="D40" s="119"/>
      <c r="E40" s="119"/>
      <c r="F40" s="410">
        <v>68918</v>
      </c>
      <c r="G40" s="410"/>
    </row>
    <row r="41" spans="1:7" s="59" customFormat="1" ht="15">
      <c r="A41" s="34" t="s">
        <v>18</v>
      </c>
      <c r="B41" s="185" t="s">
        <v>198</v>
      </c>
      <c r="C41" s="186"/>
      <c r="D41" s="125"/>
      <c r="E41" s="125"/>
      <c r="F41" s="410">
        <f>E24*1%</f>
        <v>166.90869999999998</v>
      </c>
      <c r="G41" s="410"/>
    </row>
    <row r="42" s="59" customFormat="1" ht="12.75"/>
    <row r="43" spans="1:6" s="67" customFormat="1" ht="15">
      <c r="A43" s="67" t="s">
        <v>55</v>
      </c>
      <c r="C43" s="127" t="s">
        <v>49</v>
      </c>
      <c r="F43" s="67" t="s">
        <v>93</v>
      </c>
    </row>
    <row r="44" spans="1:7" s="59" customFormat="1" ht="15">
      <c r="A44" s="67"/>
      <c r="B44" s="67"/>
      <c r="C44" s="127"/>
      <c r="D44" s="67"/>
      <c r="E44" s="67"/>
      <c r="F44" s="128" t="s">
        <v>516</v>
      </c>
      <c r="G44" s="67"/>
    </row>
    <row r="45" spans="1:10" s="59" customFormat="1" ht="15">
      <c r="A45" s="67" t="s">
        <v>50</v>
      </c>
      <c r="B45" s="67"/>
      <c r="C45" s="127"/>
      <c r="D45" s="67"/>
      <c r="E45" s="67"/>
      <c r="F45" s="67"/>
      <c r="G45" s="67"/>
      <c r="H45" s="158"/>
      <c r="I45" s="158"/>
      <c r="J45" s="158"/>
    </row>
    <row r="46" spans="1:7" s="59" customFormat="1" ht="15">
      <c r="A46" s="67"/>
      <c r="B46" s="67"/>
      <c r="C46" s="129" t="s">
        <v>51</v>
      </c>
      <c r="D46" s="67"/>
      <c r="E46" s="130"/>
      <c r="F46" s="130"/>
      <c r="G46" s="130"/>
    </row>
    <row r="47" s="59" customFormat="1" ht="12.75"/>
  </sheetData>
  <sheetProtection/>
  <mergeCells count="17">
    <mergeCell ref="F41:G41"/>
    <mergeCell ref="B39:C39"/>
    <mergeCell ref="F39:G39"/>
    <mergeCell ref="B40:C40"/>
    <mergeCell ref="F40:G40"/>
    <mergeCell ref="A11:K11"/>
    <mergeCell ref="A32:C32"/>
    <mergeCell ref="A36:K36"/>
    <mergeCell ref="B38:C38"/>
    <mergeCell ref="F38:G38"/>
    <mergeCell ref="A31:F31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29">
      <selection activeCell="G34" sqref="G34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2" s="59" customFormat="1" ht="16.5" customHeight="1">
      <c r="A7" s="59" t="s">
        <v>2</v>
      </c>
      <c r="F7" s="60" t="s">
        <v>157</v>
      </c>
      <c r="H7" s="60"/>
      <c r="L7" s="61"/>
    </row>
    <row r="8" spans="1:8" s="59" customFormat="1" ht="12.75">
      <c r="A8" s="59" t="s">
        <v>3</v>
      </c>
      <c r="F8" s="310" t="s">
        <v>158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'[1]Дубрава 3'!$G$35</f>
        <v>3760.068500000005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59" customFormat="1" ht="28.5">
      <c r="A16" s="75" t="s">
        <v>14</v>
      </c>
      <c r="B16" s="41" t="s">
        <v>15</v>
      </c>
      <c r="C16" s="137">
        <f>C17+C18+C19+C20</f>
        <v>9.879999999999999</v>
      </c>
      <c r="D16" s="76">
        <v>84630.48</v>
      </c>
      <c r="E16" s="76">
        <v>84395.18</v>
      </c>
      <c r="F16" s="76">
        <f>D16</f>
        <v>84630.48</v>
      </c>
      <c r="G16" s="77">
        <f>D16-E16</f>
        <v>235.3000000000029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29637.79967611336</v>
      </c>
      <c r="E17" s="83">
        <f>E16*I17</f>
        <v>29555.397044534413</v>
      </c>
      <c r="F17" s="83">
        <f>D17</f>
        <v>29637.79967611336</v>
      </c>
      <c r="G17" s="84">
        <f>D17-E17</f>
        <v>82.40263157894879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14476.266315789473</v>
      </c>
      <c r="E18" s="83">
        <f>E16*I18</f>
        <v>14436.017631578947</v>
      </c>
      <c r="F18" s="83">
        <f>D18</f>
        <v>14476.266315789473</v>
      </c>
      <c r="G18" s="84">
        <f>D18-E18</f>
        <v>40.248684210526335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14476.266315789473</v>
      </c>
      <c r="E19" s="83">
        <f>E16*I19</f>
        <v>14436.017631578947</v>
      </c>
      <c r="F19" s="83">
        <f>D19</f>
        <v>14476.266315789473</v>
      </c>
      <c r="G19" s="84">
        <f>D19-E19</f>
        <v>40.248684210526335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26040.14769230769</v>
      </c>
      <c r="E20" s="83">
        <f>E16*I20</f>
        <v>25967.74769230769</v>
      </c>
      <c r="F20" s="83">
        <f>D20</f>
        <v>26040.14769230769</v>
      </c>
      <c r="G20" s="84">
        <f>D20-E20</f>
        <v>72.40000000000146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87">
        <v>1.86</v>
      </c>
      <c r="D24" s="87">
        <v>15949.48</v>
      </c>
      <c r="E24" s="87">
        <v>15908.28</v>
      </c>
      <c r="F24" s="87">
        <f>F39</f>
        <v>20702.202800000003</v>
      </c>
      <c r="G24" s="77">
        <f t="shared" si="0"/>
        <v>41.19999999999891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77">
        <v>0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105612.07</v>
      </c>
      <c r="E26" s="77">
        <f>SUM(E27:E30)</f>
        <v>108794.11</v>
      </c>
      <c r="F26" s="77">
        <f>SUM(F27:F30)</f>
        <v>105612.07</v>
      </c>
      <c r="G26" s="77">
        <f t="shared" si="0"/>
        <v>-3182.0399999999936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2711.1</v>
      </c>
      <c r="E27" s="84">
        <v>2701.37</v>
      </c>
      <c r="F27" s="84">
        <f>D27</f>
        <v>2711.1</v>
      </c>
      <c r="G27" s="84">
        <f t="shared" si="0"/>
        <v>9.730000000000018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102900.97</v>
      </c>
      <c r="E28" s="84">
        <v>106092.74</v>
      </c>
      <c r="F28" s="84">
        <f>D28</f>
        <v>102900.97</v>
      </c>
      <c r="G28" s="84">
        <f t="shared" si="0"/>
        <v>-3191.770000000004</v>
      </c>
    </row>
    <row r="29" spans="1:7" ht="15">
      <c r="A29" s="34" t="s">
        <v>42</v>
      </c>
      <c r="B29" s="34" t="s">
        <v>143</v>
      </c>
      <c r="C29" s="196"/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99"/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26439.53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4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-1033.8542999999954</v>
      </c>
      <c r="H34" s="62"/>
      <c r="I34" s="62"/>
      <c r="N34" s="147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101"/>
      <c r="M36" s="101"/>
    </row>
    <row r="37" ht="23.25" customHeight="1"/>
    <row r="38" spans="1:11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J38" s="74"/>
      <c r="K38" s="74"/>
    </row>
    <row r="39" spans="1:14" s="74" customFormat="1" ht="15">
      <c r="A39" s="109" t="s">
        <v>47</v>
      </c>
      <c r="B39" s="396" t="s">
        <v>114</v>
      </c>
      <c r="C39" s="399"/>
      <c r="D39" s="111"/>
      <c r="E39" s="111"/>
      <c r="F39" s="411">
        <f>SUM(F40:F43)</f>
        <v>20702.202800000003</v>
      </c>
      <c r="G39" s="404"/>
      <c r="H39" s="253"/>
      <c r="I39" s="254"/>
      <c r="J39" s="115"/>
      <c r="K39" s="115"/>
      <c r="N39" s="108"/>
    </row>
    <row r="40" spans="1:14" s="74" customFormat="1" ht="15">
      <c r="A40" s="34" t="s">
        <v>16</v>
      </c>
      <c r="B40" s="408" t="s">
        <v>608</v>
      </c>
      <c r="C40" s="409"/>
      <c r="D40" s="197" t="s">
        <v>241</v>
      </c>
      <c r="E40" s="197">
        <v>0.03</v>
      </c>
      <c r="F40" s="459">
        <v>10554.18</v>
      </c>
      <c r="G40" s="404"/>
      <c r="H40" s="113"/>
      <c r="I40" s="114"/>
      <c r="J40" s="115"/>
      <c r="K40" s="115"/>
      <c r="N40" s="108"/>
    </row>
    <row r="41" spans="1:14" s="74" customFormat="1" ht="26.25">
      <c r="A41" s="34" t="s">
        <v>18</v>
      </c>
      <c r="B41" s="123" t="s">
        <v>639</v>
      </c>
      <c r="C41" s="124"/>
      <c r="D41" s="197" t="s">
        <v>171</v>
      </c>
      <c r="E41" s="197">
        <v>2</v>
      </c>
      <c r="F41" s="459">
        <v>9988.94</v>
      </c>
      <c r="G41" s="404"/>
      <c r="H41" s="113"/>
      <c r="I41" s="114"/>
      <c r="J41" s="115"/>
      <c r="K41" s="115"/>
      <c r="N41" s="108"/>
    </row>
    <row r="42" spans="1:14" s="74" customFormat="1" ht="17.25" customHeight="1">
      <c r="A42" s="34" t="s">
        <v>20</v>
      </c>
      <c r="B42" s="408"/>
      <c r="C42" s="409"/>
      <c r="D42" s="197"/>
      <c r="E42" s="197"/>
      <c r="F42" s="459"/>
      <c r="G42" s="404"/>
      <c r="H42" s="113"/>
      <c r="I42" s="114"/>
      <c r="J42" s="115"/>
      <c r="K42" s="115"/>
      <c r="N42" s="108"/>
    </row>
    <row r="43" spans="1:7" s="59" customFormat="1" ht="15">
      <c r="A43" s="34" t="s">
        <v>22</v>
      </c>
      <c r="B43" s="408" t="s">
        <v>198</v>
      </c>
      <c r="C43" s="409"/>
      <c r="D43" s="125"/>
      <c r="E43" s="125"/>
      <c r="F43" s="410">
        <f>E24*1%</f>
        <v>159.08280000000002</v>
      </c>
      <c r="G43" s="410"/>
    </row>
    <row r="44" s="59" customFormat="1" ht="12.75"/>
    <row r="45" spans="1:6" s="67" customFormat="1" ht="15">
      <c r="A45" s="67" t="s">
        <v>55</v>
      </c>
      <c r="C45" s="127" t="s">
        <v>49</v>
      </c>
      <c r="F45" s="67" t="s">
        <v>93</v>
      </c>
    </row>
    <row r="46" spans="1:7" s="59" customFormat="1" ht="15">
      <c r="A46" s="67"/>
      <c r="B46" s="67"/>
      <c r="C46" s="127"/>
      <c r="D46" s="67"/>
      <c r="E46" s="67"/>
      <c r="F46" s="128" t="s">
        <v>516</v>
      </c>
      <c r="G46" s="67"/>
    </row>
    <row r="47" spans="1:10" s="59" customFormat="1" ht="15">
      <c r="A47" s="67" t="s">
        <v>50</v>
      </c>
      <c r="B47" s="67"/>
      <c r="C47" s="127"/>
      <c r="D47" s="67"/>
      <c r="E47" s="67"/>
      <c r="F47" s="67"/>
      <c r="G47" s="67"/>
      <c r="H47" s="158"/>
      <c r="I47" s="158"/>
      <c r="J47" s="158"/>
    </row>
    <row r="48" spans="1:7" s="59" customFormat="1" ht="15">
      <c r="A48" s="67"/>
      <c r="B48" s="67"/>
      <c r="C48" s="129" t="s">
        <v>51</v>
      </c>
      <c r="D48" s="67"/>
      <c r="E48" s="130"/>
      <c r="F48" s="130"/>
      <c r="G48" s="130"/>
    </row>
    <row r="49" s="59" customFormat="1" ht="12.75"/>
  </sheetData>
  <sheetProtection/>
  <mergeCells count="20">
    <mergeCell ref="A11:K11"/>
    <mergeCell ref="F43:G43"/>
    <mergeCell ref="B43:C43"/>
    <mergeCell ref="A32:C32"/>
    <mergeCell ref="A36:K36"/>
    <mergeCell ref="B38:C38"/>
    <mergeCell ref="F38:G38"/>
    <mergeCell ref="B40:C40"/>
    <mergeCell ref="B42:C42"/>
    <mergeCell ref="F40:G40"/>
    <mergeCell ref="F42:G42"/>
    <mergeCell ref="B39:C39"/>
    <mergeCell ref="F39:G39"/>
    <mergeCell ref="F41:G41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25">
      <selection activeCell="G35" sqref="G35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7109375" style="57" bestFit="1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2" s="59" customFormat="1" ht="16.5" customHeight="1">
      <c r="A7" s="59" t="s">
        <v>2</v>
      </c>
      <c r="F7" s="60" t="s">
        <v>183</v>
      </c>
      <c r="H7" s="60"/>
      <c r="L7" s="61"/>
    </row>
    <row r="8" spans="1:8" s="59" customFormat="1" ht="12.75">
      <c r="A8" s="59" t="s">
        <v>3</v>
      </c>
      <c r="F8" s="310" t="s">
        <v>334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'[1]Дубрава 4'!$G$36</f>
        <v>62427.328299999994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59" customFormat="1" ht="28.5">
      <c r="A16" s="75" t="s">
        <v>14</v>
      </c>
      <c r="B16" s="41" t="s">
        <v>15</v>
      </c>
      <c r="C16" s="137">
        <f>C17+C18+C19+C20</f>
        <v>9.879999999999999</v>
      </c>
      <c r="D16" s="76">
        <v>84496.76</v>
      </c>
      <c r="E16" s="76">
        <v>74274.58</v>
      </c>
      <c r="F16" s="76">
        <f>D16</f>
        <v>84496.76</v>
      </c>
      <c r="G16" s="77">
        <f>D16-E16</f>
        <v>10222.179999999993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29590.97060728745</v>
      </c>
      <c r="E17" s="83">
        <f>E16*I17</f>
        <v>26011.138340080975</v>
      </c>
      <c r="F17" s="83">
        <f>D17</f>
        <v>29590.97060728745</v>
      </c>
      <c r="G17" s="84">
        <f>D17-E17</f>
        <v>3579.832267206475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14453.393157894736</v>
      </c>
      <c r="E18" s="83">
        <f>E16*I18</f>
        <v>12704.862368421052</v>
      </c>
      <c r="F18" s="83">
        <f>D18</f>
        <v>14453.393157894736</v>
      </c>
      <c r="G18" s="84">
        <f>D18-E18</f>
        <v>1748.5307894736834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14453.393157894736</v>
      </c>
      <c r="E19" s="83">
        <f>E16*I19</f>
        <v>12704.862368421052</v>
      </c>
      <c r="F19" s="83">
        <f>D19</f>
        <v>14453.393157894736</v>
      </c>
      <c r="G19" s="84">
        <f>D19-E19</f>
        <v>1748.5307894736834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25999.003076923076</v>
      </c>
      <c r="E20" s="83">
        <f>E16*I20</f>
        <v>22853.716923076925</v>
      </c>
      <c r="F20" s="83">
        <f>D20</f>
        <v>25999.003076923076</v>
      </c>
      <c r="G20" s="84">
        <f>D20-E20</f>
        <v>3145.286153846151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9">
        <v>0</v>
      </c>
      <c r="D21" s="87">
        <v>0</v>
      </c>
      <c r="E21" s="87">
        <v>0</v>
      </c>
      <c r="F21" s="87">
        <v>0</v>
      </c>
      <c r="G21" s="77">
        <f aca="true" t="shared" si="0" ref="G21:G31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87">
        <v>5</v>
      </c>
      <c r="D24" s="87">
        <v>43140</v>
      </c>
      <c r="E24" s="87">
        <v>36779.8</v>
      </c>
      <c r="F24" s="87">
        <f>F40</f>
        <v>10909.698</v>
      </c>
      <c r="G24" s="77">
        <f t="shared" si="0"/>
        <v>6360.199999999997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77">
        <v>12.54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299</v>
      </c>
      <c r="C26" s="77">
        <v>0</v>
      </c>
      <c r="D26" s="77">
        <v>0</v>
      </c>
      <c r="E26" s="77">
        <v>25737.25</v>
      </c>
      <c r="F26" s="87">
        <v>0</v>
      </c>
      <c r="G26" s="77">
        <f t="shared" si="0"/>
        <v>-25737.25</v>
      </c>
      <c r="H26" s="98"/>
      <c r="I26" s="98"/>
      <c r="J26" s="98"/>
      <c r="K26" s="98"/>
    </row>
    <row r="27" spans="1:11" ht="14.25">
      <c r="A27" s="41" t="s">
        <v>211</v>
      </c>
      <c r="B27" s="41" t="s">
        <v>36</v>
      </c>
      <c r="C27" s="77"/>
      <c r="D27" s="77">
        <f>SUM(D28:D31)</f>
        <v>401306.78</v>
      </c>
      <c r="E27" s="77">
        <f>SUM(E28:E31)</f>
        <v>401863.05</v>
      </c>
      <c r="F27" s="77">
        <f>SUM(F28:F31)</f>
        <v>401306.78</v>
      </c>
      <c r="G27" s="77">
        <f t="shared" si="0"/>
        <v>-556.2699999999604</v>
      </c>
      <c r="H27" s="98"/>
      <c r="I27" s="98"/>
      <c r="J27" s="98"/>
      <c r="K27" s="98"/>
    </row>
    <row r="28" spans="1:7" ht="15">
      <c r="A28" s="34" t="s">
        <v>213</v>
      </c>
      <c r="B28" s="34" t="s">
        <v>172</v>
      </c>
      <c r="C28" s="293" t="s">
        <v>379</v>
      </c>
      <c r="D28" s="84">
        <v>2547.72</v>
      </c>
      <c r="E28" s="84">
        <v>2208.99</v>
      </c>
      <c r="F28" s="84">
        <f>D28</f>
        <v>2547.72</v>
      </c>
      <c r="G28" s="84">
        <f t="shared" si="0"/>
        <v>338.73</v>
      </c>
    </row>
    <row r="29" spans="1:7" ht="15">
      <c r="A29" s="34" t="s">
        <v>214</v>
      </c>
      <c r="B29" s="34" t="s">
        <v>142</v>
      </c>
      <c r="C29" s="293" t="s">
        <v>382</v>
      </c>
      <c r="D29" s="84">
        <v>113011.69</v>
      </c>
      <c r="E29" s="84">
        <v>144419.22</v>
      </c>
      <c r="F29" s="84">
        <f>D29</f>
        <v>113011.69</v>
      </c>
      <c r="G29" s="84">
        <f t="shared" si="0"/>
        <v>-31407.53</v>
      </c>
    </row>
    <row r="30" spans="1:7" ht="15">
      <c r="A30" s="34" t="s">
        <v>215</v>
      </c>
      <c r="B30" s="34" t="s">
        <v>143</v>
      </c>
      <c r="C30" s="145">
        <v>0</v>
      </c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7" ht="15">
      <c r="A31" s="34" t="s">
        <v>216</v>
      </c>
      <c r="B31" s="34" t="s">
        <v>43</v>
      </c>
      <c r="C31" s="293" t="s">
        <v>380</v>
      </c>
      <c r="D31" s="84">
        <v>285747.37</v>
      </c>
      <c r="E31" s="84">
        <v>255234.84</v>
      </c>
      <c r="F31" s="84">
        <f>D31</f>
        <v>285747.37</v>
      </c>
      <c r="G31" s="84">
        <f t="shared" si="0"/>
        <v>30512.53</v>
      </c>
    </row>
    <row r="32" spans="1:9" s="102" customFormat="1" ht="15" customHeight="1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</row>
    <row r="33" spans="1:9" s="67" customFormat="1" ht="15.75" thickBot="1">
      <c r="A33" s="378" t="s">
        <v>383</v>
      </c>
      <c r="B33" s="379"/>
      <c r="C33" s="379"/>
      <c r="D33" s="65">
        <v>380005.63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14" s="67" customFormat="1" ht="15.75" thickBot="1">
      <c r="A35" s="63" t="s">
        <v>387</v>
      </c>
      <c r="B35" s="64"/>
      <c r="C35" s="64"/>
      <c r="D35" s="69"/>
      <c r="E35" s="70"/>
      <c r="F35" s="70"/>
      <c r="G35" s="146">
        <f>G13+E24-F24+E26-F26</f>
        <v>114034.68029999999</v>
      </c>
      <c r="H35" s="62"/>
      <c r="I35" s="62"/>
      <c r="N35" s="147"/>
    </row>
    <row r="36" spans="1:11" s="67" customFormat="1" ht="1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3" s="102" customFormat="1" ht="25.5" customHeight="1">
      <c r="A37" s="367" t="s">
        <v>44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101"/>
      <c r="M37" s="101"/>
    </row>
    <row r="38" ht="23.25" customHeight="1"/>
    <row r="39" spans="1:11" ht="28.5">
      <c r="A39" s="105" t="s">
        <v>11</v>
      </c>
      <c r="B39" s="394" t="s">
        <v>45</v>
      </c>
      <c r="C39" s="405"/>
      <c r="D39" s="105" t="s">
        <v>170</v>
      </c>
      <c r="E39" s="105" t="s">
        <v>169</v>
      </c>
      <c r="F39" s="394" t="s">
        <v>46</v>
      </c>
      <c r="G39" s="405"/>
      <c r="H39" s="251"/>
      <c r="I39" s="252"/>
      <c r="J39" s="74"/>
      <c r="K39" s="74"/>
    </row>
    <row r="40" spans="1:14" s="74" customFormat="1" ht="15">
      <c r="A40" s="109" t="s">
        <v>47</v>
      </c>
      <c r="B40" s="396" t="s">
        <v>114</v>
      </c>
      <c r="C40" s="399"/>
      <c r="D40" s="111"/>
      <c r="E40" s="111"/>
      <c r="F40" s="411">
        <f>SUM(F41:G43)</f>
        <v>10909.698</v>
      </c>
      <c r="G40" s="404"/>
      <c r="H40" s="253"/>
      <c r="I40" s="254"/>
      <c r="J40" s="115"/>
      <c r="K40" s="115"/>
      <c r="N40" s="108"/>
    </row>
    <row r="41" spans="1:14" s="115" customFormat="1" ht="15">
      <c r="A41" s="34" t="s">
        <v>16</v>
      </c>
      <c r="B41" s="369" t="s">
        <v>608</v>
      </c>
      <c r="C41" s="371"/>
      <c r="D41" s="119" t="s">
        <v>505</v>
      </c>
      <c r="E41" s="119">
        <v>0.03</v>
      </c>
      <c r="F41" s="420">
        <v>10541.9</v>
      </c>
      <c r="G41" s="421"/>
      <c r="H41" s="40"/>
      <c r="I41" s="40"/>
      <c r="J41" s="57"/>
      <c r="K41" s="57"/>
      <c r="N41" s="116"/>
    </row>
    <row r="42" spans="1:14" s="115" customFormat="1" ht="15">
      <c r="A42" s="34" t="s">
        <v>18</v>
      </c>
      <c r="B42" s="369"/>
      <c r="C42" s="371"/>
      <c r="D42" s="119"/>
      <c r="E42" s="119"/>
      <c r="F42" s="420"/>
      <c r="G42" s="421"/>
      <c r="H42" s="40"/>
      <c r="I42" s="40"/>
      <c r="J42" s="57"/>
      <c r="K42" s="57"/>
      <c r="N42" s="116"/>
    </row>
    <row r="43" spans="1:7" s="59" customFormat="1" ht="15">
      <c r="A43" s="34" t="s">
        <v>20</v>
      </c>
      <c r="B43" s="408" t="s">
        <v>198</v>
      </c>
      <c r="C43" s="409"/>
      <c r="D43" s="125"/>
      <c r="E43" s="125"/>
      <c r="F43" s="410">
        <f>E24*1%</f>
        <v>367.79800000000006</v>
      </c>
      <c r="G43" s="410"/>
    </row>
    <row r="44" s="59" customFormat="1" ht="12.75"/>
    <row r="45" spans="1:6" s="67" customFormat="1" ht="15">
      <c r="A45" s="67" t="s">
        <v>55</v>
      </c>
      <c r="C45" s="127" t="s">
        <v>49</v>
      </c>
      <c r="F45" s="67" t="s">
        <v>93</v>
      </c>
    </row>
    <row r="46" spans="1:7" s="59" customFormat="1" ht="15">
      <c r="A46" s="67"/>
      <c r="B46" s="67"/>
      <c r="C46" s="127"/>
      <c r="D46" s="67"/>
      <c r="E46" s="67"/>
      <c r="F46" s="128" t="s">
        <v>516</v>
      </c>
      <c r="G46" s="67"/>
    </row>
    <row r="47" spans="1:10" s="59" customFormat="1" ht="15">
      <c r="A47" s="67" t="s">
        <v>50</v>
      </c>
      <c r="B47" s="67"/>
      <c r="C47" s="127"/>
      <c r="D47" s="67"/>
      <c r="E47" s="67"/>
      <c r="F47" s="67"/>
      <c r="G47" s="67"/>
      <c r="H47" s="158"/>
      <c r="I47" s="158"/>
      <c r="J47" s="158"/>
    </row>
    <row r="48" spans="1:7" s="59" customFormat="1" ht="15">
      <c r="A48" s="67"/>
      <c r="B48" s="67"/>
      <c r="C48" s="129" t="s">
        <v>51</v>
      </c>
      <c r="D48" s="67"/>
      <c r="E48" s="130"/>
      <c r="F48" s="130"/>
      <c r="G48" s="130"/>
    </row>
    <row r="49" s="59" customFormat="1" ht="12.75"/>
  </sheetData>
  <sheetProtection/>
  <mergeCells count="20">
    <mergeCell ref="B43:C43"/>
    <mergeCell ref="F43:G43"/>
    <mergeCell ref="F41:G41"/>
    <mergeCell ref="B41:C41"/>
    <mergeCell ref="B42:C42"/>
    <mergeCell ref="A1:K1"/>
    <mergeCell ref="A2:K2"/>
    <mergeCell ref="A3:K3"/>
    <mergeCell ref="A5:K5"/>
    <mergeCell ref="A9:K9"/>
    <mergeCell ref="F42:G42"/>
    <mergeCell ref="F40:G40"/>
    <mergeCell ref="B39:C39"/>
    <mergeCell ref="A11:K11"/>
    <mergeCell ref="A10:K10"/>
    <mergeCell ref="B40:C40"/>
    <mergeCell ref="A37:K37"/>
    <mergeCell ref="A33:C33"/>
    <mergeCell ref="A32:F32"/>
    <mergeCell ref="F39:G39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22">
      <selection activeCell="G34" sqref="G34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2" s="59" customFormat="1" ht="16.5" customHeight="1">
      <c r="A7" s="59" t="s">
        <v>2</v>
      </c>
      <c r="F7" s="60" t="s">
        <v>184</v>
      </c>
      <c r="H7" s="60"/>
      <c r="L7" s="61"/>
    </row>
    <row r="8" spans="1:8" s="59" customFormat="1" ht="12.75">
      <c r="A8" s="59" t="s">
        <v>3</v>
      </c>
      <c r="F8" s="310" t="s">
        <v>185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'[1]Дубрава 5'!$G$35</f>
        <v>-26835.79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59" customFormat="1" ht="28.5">
      <c r="A16" s="75" t="s">
        <v>14</v>
      </c>
      <c r="B16" s="41" t="s">
        <v>15</v>
      </c>
      <c r="C16" s="137">
        <f>C17+C18+C19+C20</f>
        <v>9.879999999999999</v>
      </c>
      <c r="D16" s="76">
        <v>72932.04</v>
      </c>
      <c r="E16" s="76">
        <v>75541.66</v>
      </c>
      <c r="F16" s="76">
        <f>D16</f>
        <v>72932.04</v>
      </c>
      <c r="G16" s="77">
        <f>D16-E16</f>
        <v>-2609.62000000001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25540.977570850202</v>
      </c>
      <c r="E17" s="83">
        <f>E16*I17</f>
        <v>26454.8728340081</v>
      </c>
      <c r="F17" s="83">
        <f>D17</f>
        <v>25540.977570850202</v>
      </c>
      <c r="G17" s="84">
        <f>D17-E17</f>
        <v>-913.8952631578977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12475.217368421052</v>
      </c>
      <c r="E18" s="83">
        <f>E16*I18</f>
        <v>12921.599736842107</v>
      </c>
      <c r="F18" s="83">
        <f>D18</f>
        <v>12475.217368421052</v>
      </c>
      <c r="G18" s="84">
        <f>D18-E18</f>
        <v>-446.3823684210547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12475.217368421052</v>
      </c>
      <c r="E19" s="83">
        <f>E16*I19</f>
        <v>12921.599736842107</v>
      </c>
      <c r="F19" s="83">
        <f>D19</f>
        <v>12475.217368421052</v>
      </c>
      <c r="G19" s="84">
        <f>D19-E19</f>
        <v>-446.3823684210547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22440.62769230769</v>
      </c>
      <c r="E20" s="83">
        <f>E16*I20</f>
        <v>23243.587692307694</v>
      </c>
      <c r="F20" s="83">
        <f>D20</f>
        <v>22440.62769230769</v>
      </c>
      <c r="G20" s="84">
        <f>D20-E20</f>
        <v>-802.9600000000028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41" t="s">
        <v>299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87">
        <v>1.86</v>
      </c>
      <c r="D24" s="87">
        <v>13744.88</v>
      </c>
      <c r="E24" s="87">
        <v>14238.29</v>
      </c>
      <c r="F24" s="87">
        <f>F39</f>
        <v>12505.1929</v>
      </c>
      <c r="G24" s="77">
        <f t="shared" si="0"/>
        <v>-493.4100000000017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77">
        <v>0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104933.25</v>
      </c>
      <c r="E26" s="77">
        <f>SUM(E27:E30)</f>
        <v>108300.4</v>
      </c>
      <c r="F26" s="77">
        <f>SUM(F27:F30)</f>
        <v>104933.25</v>
      </c>
      <c r="G26" s="77">
        <f t="shared" si="0"/>
        <v>-3367.149999999994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1893.3</v>
      </c>
      <c r="E27" s="84">
        <v>1958.6</v>
      </c>
      <c r="F27" s="84">
        <f>D27</f>
        <v>1893.3</v>
      </c>
      <c r="G27" s="84">
        <f t="shared" si="0"/>
        <v>-65.29999999999995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103039.95</v>
      </c>
      <c r="E28" s="84">
        <v>102921.51</v>
      </c>
      <c r="F28" s="84">
        <f>D28</f>
        <v>103039.95</v>
      </c>
      <c r="G28" s="84">
        <f t="shared" si="0"/>
        <v>118.44000000000233</v>
      </c>
    </row>
    <row r="29" spans="1:7" ht="15">
      <c r="A29" s="34" t="s">
        <v>42</v>
      </c>
      <c r="B29" s="34" t="s">
        <v>143</v>
      </c>
      <c r="C29" s="145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0</v>
      </c>
      <c r="E30" s="84">
        <v>3420.29</v>
      </c>
      <c r="F30" s="84">
        <f>D30</f>
        <v>0</v>
      </c>
      <c r="G30" s="84">
        <f t="shared" si="0"/>
        <v>-3420.29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19083.76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G13+E24-F24+E21-F21</f>
        <v>-25102.692900000002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101"/>
      <c r="M36" s="101"/>
    </row>
    <row r="37" ht="23.25" customHeight="1"/>
    <row r="38" spans="1:11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J38" s="74"/>
      <c r="K38" s="74"/>
    </row>
    <row r="39" spans="1:14" s="74" customFormat="1" ht="15">
      <c r="A39" s="109" t="s">
        <v>47</v>
      </c>
      <c r="B39" s="396" t="s">
        <v>114</v>
      </c>
      <c r="C39" s="399"/>
      <c r="D39" s="111"/>
      <c r="E39" s="111"/>
      <c r="F39" s="411">
        <f>SUM(F40:G43)</f>
        <v>12505.1929</v>
      </c>
      <c r="G39" s="404"/>
      <c r="H39" s="253"/>
      <c r="I39" s="254"/>
      <c r="J39" s="115"/>
      <c r="K39" s="115"/>
      <c r="N39" s="108"/>
    </row>
    <row r="40" spans="1:14" s="74" customFormat="1" ht="15">
      <c r="A40" s="34" t="s">
        <v>16</v>
      </c>
      <c r="B40" s="408" t="s">
        <v>608</v>
      </c>
      <c r="C40" s="409"/>
      <c r="D40" s="197" t="s">
        <v>241</v>
      </c>
      <c r="E40" s="197">
        <v>0.03</v>
      </c>
      <c r="F40" s="410">
        <v>10541.9</v>
      </c>
      <c r="G40" s="410"/>
      <c r="H40" s="113"/>
      <c r="I40" s="114"/>
      <c r="J40" s="115"/>
      <c r="K40" s="115"/>
      <c r="N40" s="108"/>
    </row>
    <row r="41" spans="1:14" s="74" customFormat="1" ht="15">
      <c r="A41" s="34" t="s">
        <v>18</v>
      </c>
      <c r="B41" s="408" t="s">
        <v>640</v>
      </c>
      <c r="C41" s="409"/>
      <c r="D41" s="197" t="s">
        <v>248</v>
      </c>
      <c r="E41" s="197">
        <v>1</v>
      </c>
      <c r="F41" s="410">
        <v>1820.91</v>
      </c>
      <c r="G41" s="410"/>
      <c r="H41" s="113"/>
      <c r="I41" s="114"/>
      <c r="J41" s="115"/>
      <c r="K41" s="115"/>
      <c r="N41" s="108"/>
    </row>
    <row r="42" spans="1:14" s="74" customFormat="1" ht="15">
      <c r="A42" s="34" t="s">
        <v>20</v>
      </c>
      <c r="B42" s="408"/>
      <c r="C42" s="409"/>
      <c r="D42" s="197"/>
      <c r="E42" s="197"/>
      <c r="F42" s="410"/>
      <c r="G42" s="410"/>
      <c r="H42" s="113"/>
      <c r="I42" s="114"/>
      <c r="J42" s="115"/>
      <c r="K42" s="115"/>
      <c r="N42" s="108"/>
    </row>
    <row r="43" spans="1:7" s="59" customFormat="1" ht="15">
      <c r="A43" s="34" t="s">
        <v>22</v>
      </c>
      <c r="B43" s="408" t="s">
        <v>198</v>
      </c>
      <c r="C43" s="409"/>
      <c r="D43" s="125"/>
      <c r="E43" s="125"/>
      <c r="F43" s="410">
        <f>E24*1%</f>
        <v>142.3829</v>
      </c>
      <c r="G43" s="410"/>
    </row>
    <row r="44" s="59" customFormat="1" ht="12.75"/>
    <row r="45" spans="1:6" s="67" customFormat="1" ht="15">
      <c r="A45" s="67" t="s">
        <v>55</v>
      </c>
      <c r="C45" s="127" t="s">
        <v>49</v>
      </c>
      <c r="F45" s="67" t="s">
        <v>93</v>
      </c>
    </row>
    <row r="46" spans="1:7" s="59" customFormat="1" ht="15">
      <c r="A46" s="67"/>
      <c r="B46" s="67"/>
      <c r="C46" s="127"/>
      <c r="D46" s="67"/>
      <c r="E46" s="67"/>
      <c r="F46" s="128" t="s">
        <v>516</v>
      </c>
      <c r="G46" s="67"/>
    </row>
    <row r="47" spans="1:10" s="59" customFormat="1" ht="15">
      <c r="A47" s="67" t="s">
        <v>50</v>
      </c>
      <c r="B47" s="67"/>
      <c r="C47" s="127"/>
      <c r="D47" s="67"/>
      <c r="E47" s="67"/>
      <c r="F47" s="67"/>
      <c r="G47" s="67"/>
      <c r="H47" s="158"/>
      <c r="I47" s="158"/>
      <c r="J47" s="158"/>
    </row>
    <row r="48" spans="1:7" s="59" customFormat="1" ht="15">
      <c r="A48" s="67"/>
      <c r="B48" s="67"/>
      <c r="C48" s="129" t="s">
        <v>51</v>
      </c>
      <c r="D48" s="67"/>
      <c r="E48" s="130"/>
      <c r="F48" s="130"/>
      <c r="G48" s="130"/>
    </row>
    <row r="49" s="59" customFormat="1" ht="12.75"/>
  </sheetData>
  <sheetProtection/>
  <mergeCells count="21">
    <mergeCell ref="B43:C43"/>
    <mergeCell ref="F43:G43"/>
    <mergeCell ref="B40:C40"/>
    <mergeCell ref="B41:C41"/>
    <mergeCell ref="B42:C42"/>
    <mergeCell ref="F40:G40"/>
    <mergeCell ref="F41:G41"/>
    <mergeCell ref="F42:G42"/>
    <mergeCell ref="B39:C39"/>
    <mergeCell ref="F39:G39"/>
    <mergeCell ref="A11:K11"/>
    <mergeCell ref="A32:C32"/>
    <mergeCell ref="A36:K36"/>
    <mergeCell ref="B38:C38"/>
    <mergeCell ref="F38:G38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22">
      <selection activeCell="G34" sqref="G34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2" s="59" customFormat="1" ht="16.5" customHeight="1">
      <c r="A7" s="59" t="s">
        <v>2</v>
      </c>
      <c r="F7" s="60" t="s">
        <v>186</v>
      </c>
      <c r="H7" s="60"/>
      <c r="L7" s="61"/>
    </row>
    <row r="8" spans="1:8" s="59" customFormat="1" ht="12.75">
      <c r="A8" s="59" t="s">
        <v>3</v>
      </c>
      <c r="F8" s="310" t="s">
        <v>337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'[1]Дубрава 6'!$G$35</f>
        <v>-76676.68609999998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59" customFormat="1" ht="28.5">
      <c r="A16" s="75" t="s">
        <v>14</v>
      </c>
      <c r="B16" s="41" t="s">
        <v>15</v>
      </c>
      <c r="C16" s="137">
        <f>C17+C18+C19+C20</f>
        <v>9.879999999999999</v>
      </c>
      <c r="D16" s="76">
        <v>163766.09</v>
      </c>
      <c r="E16" s="76">
        <v>155336.13</v>
      </c>
      <c r="F16" s="76">
        <f>D16</f>
        <v>163766.09</v>
      </c>
      <c r="G16" s="77">
        <f>D16-E16</f>
        <v>8429.959999999992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57351.28253036438</v>
      </c>
      <c r="E17" s="83">
        <f>E16*I17</f>
        <v>54399.09006072875</v>
      </c>
      <c r="F17" s="83">
        <f>D17</f>
        <v>57351.28253036438</v>
      </c>
      <c r="G17" s="84">
        <f>D17-E17</f>
        <v>2952.192469635629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28012.62065789474</v>
      </c>
      <c r="E18" s="83">
        <f>E16*I18</f>
        <v>26570.653815789476</v>
      </c>
      <c r="F18" s="83">
        <f>D18</f>
        <v>28012.62065789474</v>
      </c>
      <c r="G18" s="84">
        <f>D18-E18</f>
        <v>1441.966842105263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28012.62065789474</v>
      </c>
      <c r="E19" s="83">
        <f>E16*I19</f>
        <v>26570.653815789476</v>
      </c>
      <c r="F19" s="83">
        <f>D19</f>
        <v>28012.62065789474</v>
      </c>
      <c r="G19" s="84">
        <f>D19-E19</f>
        <v>1441.966842105263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50389.56615384616</v>
      </c>
      <c r="E20" s="83">
        <f>E16*I20</f>
        <v>47795.73230769231</v>
      </c>
      <c r="F20" s="83">
        <f>D20</f>
        <v>50389.56615384616</v>
      </c>
      <c r="G20" s="84">
        <f>D20-E20</f>
        <v>2593.833846153844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87">
        <v>1.86</v>
      </c>
      <c r="D24" s="87">
        <v>136934.44</v>
      </c>
      <c r="E24" s="87">
        <v>136868.36</v>
      </c>
      <c r="F24" s="87">
        <f>F39</f>
        <v>21137.0636</v>
      </c>
      <c r="G24" s="77">
        <f t="shared" si="0"/>
        <v>66.0800000000163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77">
        <v>1902.11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714400.46</v>
      </c>
      <c r="E26" s="77">
        <f>SUM(E27:E30)</f>
        <v>737004.16</v>
      </c>
      <c r="F26" s="77">
        <f>SUM(F27:F30)</f>
        <v>714400.46</v>
      </c>
      <c r="G26" s="77">
        <f t="shared" si="0"/>
        <v>-22603.70000000007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3014.94</v>
      </c>
      <c r="E27" s="84">
        <v>3103.64</v>
      </c>
      <c r="F27" s="84">
        <f>D27</f>
        <v>3014.94</v>
      </c>
      <c r="G27" s="84">
        <f t="shared" si="0"/>
        <v>-88.69999999999982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165072.53</v>
      </c>
      <c r="E28" s="84">
        <v>173580.97</v>
      </c>
      <c r="F28" s="84">
        <f>D28</f>
        <v>165072.53</v>
      </c>
      <c r="G28" s="84">
        <f t="shared" si="0"/>
        <v>-8508.440000000002</v>
      </c>
    </row>
    <row r="29" spans="1:7" ht="15">
      <c r="A29" s="34" t="s">
        <v>42</v>
      </c>
      <c r="B29" s="34" t="s">
        <v>143</v>
      </c>
      <c r="C29" s="145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546312.99</v>
      </c>
      <c r="E30" s="84">
        <v>560319.55</v>
      </c>
      <c r="F30" s="84">
        <f>D30</f>
        <v>546312.99</v>
      </c>
      <c r="G30" s="84">
        <f t="shared" si="0"/>
        <v>-14006.560000000056</v>
      </c>
    </row>
    <row r="31" spans="1:9" s="102" customFormat="1" ht="17.2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243016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39054.61030000001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101"/>
      <c r="M36" s="101"/>
    </row>
    <row r="37" ht="23.25" customHeight="1"/>
    <row r="38" spans="1:11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J38" s="74"/>
      <c r="K38" s="74"/>
    </row>
    <row r="39" spans="1:14" s="74" customFormat="1" ht="15">
      <c r="A39" s="109" t="s">
        <v>47</v>
      </c>
      <c r="B39" s="396" t="s">
        <v>114</v>
      </c>
      <c r="C39" s="399"/>
      <c r="D39" s="111"/>
      <c r="E39" s="111"/>
      <c r="F39" s="411">
        <f>SUM(F40:G43)</f>
        <v>21137.0636</v>
      </c>
      <c r="G39" s="404"/>
      <c r="H39" s="253"/>
      <c r="I39" s="254"/>
      <c r="J39" s="115"/>
      <c r="K39" s="115"/>
      <c r="N39" s="108"/>
    </row>
    <row r="40" spans="1:14" s="115" customFormat="1" ht="15">
      <c r="A40" s="34" t="s">
        <v>16</v>
      </c>
      <c r="B40" s="369" t="s">
        <v>640</v>
      </c>
      <c r="C40" s="371"/>
      <c r="D40" s="119" t="s">
        <v>248</v>
      </c>
      <c r="E40" s="119">
        <v>1</v>
      </c>
      <c r="F40" s="420">
        <v>763.54</v>
      </c>
      <c r="G40" s="421"/>
      <c r="H40" s="255"/>
      <c r="I40" s="256"/>
      <c r="J40" s="57"/>
      <c r="K40" s="57"/>
      <c r="N40" s="116"/>
    </row>
    <row r="41" spans="1:14" s="115" customFormat="1" ht="15">
      <c r="A41" s="34" t="s">
        <v>18</v>
      </c>
      <c r="B41" s="369" t="s">
        <v>641</v>
      </c>
      <c r="C41" s="371"/>
      <c r="D41" s="119" t="s">
        <v>249</v>
      </c>
      <c r="E41" s="119"/>
      <c r="F41" s="420">
        <v>19004.84</v>
      </c>
      <c r="G41" s="421"/>
      <c r="H41" s="40"/>
      <c r="I41" s="40"/>
      <c r="J41" s="57"/>
      <c r="K41" s="57"/>
      <c r="N41" s="116"/>
    </row>
    <row r="42" spans="1:14" s="115" customFormat="1" ht="15">
      <c r="A42" s="34" t="s">
        <v>20</v>
      </c>
      <c r="B42" s="369"/>
      <c r="C42" s="371"/>
      <c r="D42" s="119"/>
      <c r="E42" s="119"/>
      <c r="F42" s="420"/>
      <c r="G42" s="421"/>
      <c r="H42" s="40"/>
      <c r="I42" s="40"/>
      <c r="J42" s="57"/>
      <c r="K42" s="57"/>
      <c r="N42" s="116"/>
    </row>
    <row r="43" spans="1:7" s="59" customFormat="1" ht="15">
      <c r="A43" s="34" t="s">
        <v>22</v>
      </c>
      <c r="B43" s="408" t="s">
        <v>198</v>
      </c>
      <c r="C43" s="409"/>
      <c r="D43" s="125"/>
      <c r="E43" s="125"/>
      <c r="F43" s="410">
        <f>E24*1%</f>
        <v>1368.6835999999998</v>
      </c>
      <c r="G43" s="410"/>
    </row>
    <row r="44" s="59" customFormat="1" ht="12.75"/>
    <row r="45" spans="1:6" s="67" customFormat="1" ht="15">
      <c r="A45" s="67" t="s">
        <v>55</v>
      </c>
      <c r="C45" s="127" t="s">
        <v>49</v>
      </c>
      <c r="F45" s="67" t="s">
        <v>93</v>
      </c>
    </row>
    <row r="46" spans="1:7" s="59" customFormat="1" ht="15">
      <c r="A46" s="67"/>
      <c r="B46" s="67"/>
      <c r="C46" s="127"/>
      <c r="D46" s="67"/>
      <c r="E46" s="67"/>
      <c r="F46" s="128" t="s">
        <v>516</v>
      </c>
      <c r="G46" s="67"/>
    </row>
    <row r="47" spans="1:10" s="59" customFormat="1" ht="15">
      <c r="A47" s="67" t="s">
        <v>50</v>
      </c>
      <c r="B47" s="67"/>
      <c r="C47" s="127"/>
      <c r="D47" s="67"/>
      <c r="E47" s="67"/>
      <c r="F47" s="67"/>
      <c r="G47" s="67"/>
      <c r="H47" s="158"/>
      <c r="I47" s="158"/>
      <c r="J47" s="158"/>
    </row>
    <row r="48" spans="1:7" s="59" customFormat="1" ht="15">
      <c r="A48" s="67"/>
      <c r="B48" s="67"/>
      <c r="C48" s="129" t="s">
        <v>51</v>
      </c>
      <c r="D48" s="67"/>
      <c r="E48" s="130"/>
      <c r="F48" s="130"/>
      <c r="G48" s="130"/>
    </row>
    <row r="49" s="59" customFormat="1" ht="12.75"/>
  </sheetData>
  <sheetProtection/>
  <mergeCells count="22">
    <mergeCell ref="A11:K11"/>
    <mergeCell ref="B40:C40"/>
    <mergeCell ref="F40:G40"/>
    <mergeCell ref="A32:C32"/>
    <mergeCell ref="A36:K36"/>
    <mergeCell ref="B38:C38"/>
    <mergeCell ref="F38:G38"/>
    <mergeCell ref="B39:C39"/>
    <mergeCell ref="F39:G39"/>
    <mergeCell ref="A31:F31"/>
    <mergeCell ref="A1:K1"/>
    <mergeCell ref="A2:K2"/>
    <mergeCell ref="A3:K3"/>
    <mergeCell ref="A5:K5"/>
    <mergeCell ref="A9:K9"/>
    <mergeCell ref="A10:K10"/>
    <mergeCell ref="B43:C43"/>
    <mergeCell ref="F43:G43"/>
    <mergeCell ref="B41:C41"/>
    <mergeCell ref="F41:G41"/>
    <mergeCell ref="B42:C42"/>
    <mergeCell ref="F42:G42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34">
      <selection activeCell="G34" sqref="G34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2" s="59" customFormat="1" ht="16.5" customHeight="1">
      <c r="A7" s="59" t="s">
        <v>2</v>
      </c>
      <c r="F7" s="60" t="s">
        <v>223</v>
      </c>
      <c r="H7" s="60"/>
      <c r="L7" s="61"/>
    </row>
    <row r="8" spans="1:8" s="59" customFormat="1" ht="12.75">
      <c r="A8" s="59" t="s">
        <v>3</v>
      </c>
      <c r="F8" s="310" t="s">
        <v>338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437</v>
      </c>
      <c r="B13" s="64"/>
      <c r="C13" s="64"/>
      <c r="D13" s="69"/>
      <c r="E13" s="70"/>
      <c r="F13" s="70"/>
      <c r="G13" s="65">
        <f>'[1]Дубрава 7'!$G$35</f>
        <v>-16609.905099999996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59" customFormat="1" ht="28.5">
      <c r="A16" s="75" t="s">
        <v>14</v>
      </c>
      <c r="B16" s="41" t="s">
        <v>15</v>
      </c>
      <c r="C16" s="137">
        <f>C17+C18+C19+C20</f>
        <v>9.879999999999999</v>
      </c>
      <c r="D16" s="76">
        <v>233946.16</v>
      </c>
      <c r="E16" s="76">
        <v>230558.89</v>
      </c>
      <c r="F16" s="76">
        <f>D16</f>
        <v>233946.16</v>
      </c>
      <c r="G16" s="77">
        <f>D16-E16</f>
        <v>3387.2699999999895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81928.51352226721</v>
      </c>
      <c r="E17" s="83">
        <f>E16*I17</f>
        <v>80742.28334008099</v>
      </c>
      <c r="F17" s="83">
        <f>D17</f>
        <v>81928.51352226721</v>
      </c>
      <c r="G17" s="84">
        <f>D17-E17</f>
        <v>1186.2301821862202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40017.106315789475</v>
      </c>
      <c r="E18" s="83">
        <f>E16*I18</f>
        <v>39437.70486842105</v>
      </c>
      <c r="F18" s="83">
        <f>D18</f>
        <v>40017.106315789475</v>
      </c>
      <c r="G18" s="84">
        <f>D18-E18</f>
        <v>579.4014473684219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40017.106315789475</v>
      </c>
      <c r="E19" s="83">
        <f>E16*I19</f>
        <v>39437.70486842105</v>
      </c>
      <c r="F19" s="83">
        <f>D19</f>
        <v>40017.106315789475</v>
      </c>
      <c r="G19" s="84">
        <f>D19-E19</f>
        <v>579.4014473684219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71983.43384615386</v>
      </c>
      <c r="E20" s="83">
        <f>E16*I20</f>
        <v>70941.19692307693</v>
      </c>
      <c r="F20" s="83">
        <f>D20</f>
        <v>71983.43384615386</v>
      </c>
      <c r="G20" s="84">
        <f>D20-E20</f>
        <v>1042.2369230769255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87">
        <v>3</v>
      </c>
      <c r="D24" s="87">
        <v>71805.6</v>
      </c>
      <c r="E24" s="87">
        <v>70683.03</v>
      </c>
      <c r="F24" s="87">
        <f>F39</f>
        <v>36106.8303</v>
      </c>
      <c r="G24" s="77">
        <f t="shared" si="0"/>
        <v>1122.570000000007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77">
        <v>12.54</v>
      </c>
      <c r="D25" s="77">
        <v>0</v>
      </c>
      <c r="E25" s="77">
        <v>0</v>
      </c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313585.77999999997</v>
      </c>
      <c r="E26" s="77">
        <f>SUM(E27:E30)</f>
        <v>295742.7</v>
      </c>
      <c r="F26" s="77">
        <f>SUM(F27:F30)</f>
        <v>313585.77999999997</v>
      </c>
      <c r="G26" s="77">
        <f t="shared" si="0"/>
        <v>17843.079999999958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4440.66</v>
      </c>
      <c r="E27" s="84">
        <v>329.3</v>
      </c>
      <c r="F27" s="84">
        <f>D27</f>
        <v>4440.66</v>
      </c>
      <c r="G27" s="84">
        <f t="shared" si="0"/>
        <v>4111.36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309145.12</v>
      </c>
      <c r="E28" s="84">
        <v>295413.4</v>
      </c>
      <c r="F28" s="84">
        <f>D28</f>
        <v>309145.12</v>
      </c>
      <c r="G28" s="84">
        <f t="shared" si="0"/>
        <v>13731.719999999972</v>
      </c>
    </row>
    <row r="29" spans="1:7" ht="15">
      <c r="A29" s="34" t="s">
        <v>42</v>
      </c>
      <c r="B29" s="34" t="s">
        <v>143</v>
      </c>
      <c r="C29" s="145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99"/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9" s="102" customFormat="1" ht="21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180877.02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17966.2946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101"/>
      <c r="M36" s="101"/>
    </row>
    <row r="37" ht="23.25" customHeight="1"/>
    <row r="38" spans="1:11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J38" s="74"/>
      <c r="K38" s="74"/>
    </row>
    <row r="39" spans="1:14" s="74" customFormat="1" ht="15">
      <c r="A39" s="109" t="s">
        <v>47</v>
      </c>
      <c r="B39" s="396" t="s">
        <v>114</v>
      </c>
      <c r="C39" s="399"/>
      <c r="D39" s="111"/>
      <c r="E39" s="111"/>
      <c r="F39" s="411">
        <f>SUM(F40:G43)</f>
        <v>36106.8303</v>
      </c>
      <c r="G39" s="404"/>
      <c r="H39" s="253"/>
      <c r="I39" s="254"/>
      <c r="J39" s="115"/>
      <c r="K39" s="115"/>
      <c r="N39" s="108"/>
    </row>
    <row r="40" spans="1:14" s="115" customFormat="1" ht="15">
      <c r="A40" s="34" t="s">
        <v>16</v>
      </c>
      <c r="B40" s="369" t="s">
        <v>642</v>
      </c>
      <c r="C40" s="415"/>
      <c r="D40" s="119" t="s">
        <v>173</v>
      </c>
      <c r="E40" s="154">
        <v>8</v>
      </c>
      <c r="F40" s="410">
        <v>10400</v>
      </c>
      <c r="G40" s="410"/>
      <c r="H40" s="255"/>
      <c r="I40" s="256"/>
      <c r="J40" s="57"/>
      <c r="K40" s="57"/>
      <c r="N40" s="116"/>
    </row>
    <row r="41" spans="1:14" s="115" customFormat="1" ht="15">
      <c r="A41" s="34" t="s">
        <v>18</v>
      </c>
      <c r="B41" s="117" t="s">
        <v>812</v>
      </c>
      <c r="C41" s="359"/>
      <c r="D41" s="119"/>
      <c r="E41" s="154"/>
      <c r="F41" s="410">
        <v>15000</v>
      </c>
      <c r="G41" s="410"/>
      <c r="H41" s="40"/>
      <c r="I41" s="40"/>
      <c r="J41" s="57"/>
      <c r="K41" s="57"/>
      <c r="N41" s="116"/>
    </row>
    <row r="42" spans="1:14" s="115" customFormat="1" ht="15">
      <c r="A42" s="34" t="s">
        <v>20</v>
      </c>
      <c r="B42" s="117" t="s">
        <v>840</v>
      </c>
      <c r="C42" s="360"/>
      <c r="D42" s="119"/>
      <c r="E42" s="154"/>
      <c r="F42" s="410">
        <v>10000</v>
      </c>
      <c r="G42" s="410"/>
      <c r="H42" s="40"/>
      <c r="I42" s="40"/>
      <c r="J42" s="57"/>
      <c r="K42" s="57"/>
      <c r="N42" s="116"/>
    </row>
    <row r="43" spans="1:7" s="59" customFormat="1" ht="15">
      <c r="A43" s="34" t="s">
        <v>22</v>
      </c>
      <c r="B43" s="408" t="s">
        <v>198</v>
      </c>
      <c r="C43" s="409"/>
      <c r="D43" s="125"/>
      <c r="E43" s="125"/>
      <c r="F43" s="410">
        <f>E24*1%</f>
        <v>706.8303</v>
      </c>
      <c r="G43" s="410"/>
    </row>
    <row r="44" s="59" customFormat="1" ht="12.75"/>
    <row r="45" spans="1:6" s="67" customFormat="1" ht="15">
      <c r="A45" s="67" t="s">
        <v>55</v>
      </c>
      <c r="C45" s="127" t="s">
        <v>49</v>
      </c>
      <c r="F45" s="67" t="s">
        <v>93</v>
      </c>
    </row>
    <row r="46" spans="1:7" s="59" customFormat="1" ht="15">
      <c r="A46" s="67"/>
      <c r="B46" s="67"/>
      <c r="C46" s="127"/>
      <c r="D46" s="67"/>
      <c r="E46" s="67"/>
      <c r="F46" s="128" t="s">
        <v>516</v>
      </c>
      <c r="G46" s="67"/>
    </row>
    <row r="47" spans="1:10" s="59" customFormat="1" ht="15">
      <c r="A47" s="67" t="s">
        <v>50</v>
      </c>
      <c r="B47" s="67"/>
      <c r="C47" s="127"/>
      <c r="D47" s="67"/>
      <c r="E47" s="67"/>
      <c r="F47" s="67"/>
      <c r="G47" s="67"/>
      <c r="H47" s="158"/>
      <c r="I47" s="158"/>
      <c r="J47" s="158"/>
    </row>
    <row r="48" spans="1:7" s="59" customFormat="1" ht="15">
      <c r="A48" s="67"/>
      <c r="B48" s="67"/>
      <c r="C48" s="129" t="s">
        <v>51</v>
      </c>
      <c r="D48" s="67"/>
      <c r="E48" s="130"/>
      <c r="F48" s="130"/>
      <c r="G48" s="130"/>
    </row>
    <row r="49" s="59" customFormat="1" ht="12.75"/>
  </sheetData>
  <sheetProtection/>
  <mergeCells count="20">
    <mergeCell ref="A1:K1"/>
    <mergeCell ref="A2:K2"/>
    <mergeCell ref="A3:K3"/>
    <mergeCell ref="A5:K5"/>
    <mergeCell ref="A9:K9"/>
    <mergeCell ref="A10:K10"/>
    <mergeCell ref="A11:K11"/>
    <mergeCell ref="A32:C32"/>
    <mergeCell ref="A36:K36"/>
    <mergeCell ref="B38:C38"/>
    <mergeCell ref="F38:G38"/>
    <mergeCell ref="A31:F31"/>
    <mergeCell ref="B43:C43"/>
    <mergeCell ref="F43:G43"/>
    <mergeCell ref="B39:C39"/>
    <mergeCell ref="F39:G39"/>
    <mergeCell ref="B40:C40"/>
    <mergeCell ref="F40:G40"/>
    <mergeCell ref="F41:G41"/>
    <mergeCell ref="F42:G42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7030A0"/>
  </sheetPr>
  <dimension ref="A1:P49"/>
  <sheetViews>
    <sheetView zoomScalePageLayoutView="0" workbookViewId="0" topLeftCell="A28">
      <selection activeCell="G34" sqref="G34"/>
    </sheetView>
  </sheetViews>
  <sheetFormatPr defaultColWidth="9.140625" defaultRowHeight="15" outlineLevelCol="1"/>
  <cols>
    <col min="1" max="1" width="5.8515625" style="57" customWidth="1"/>
    <col min="2" max="2" width="48.281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2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257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3" s="59" customFormat="1" ht="16.5" customHeight="1">
      <c r="A7" s="59" t="s">
        <v>2</v>
      </c>
      <c r="F7" s="60" t="s">
        <v>187</v>
      </c>
      <c r="H7" s="60"/>
      <c r="L7" s="258"/>
      <c r="M7" s="258"/>
    </row>
    <row r="8" spans="1:11" s="59" customFormat="1" ht="12.75">
      <c r="A8" s="59" t="s">
        <v>3</v>
      </c>
      <c r="F8" s="310" t="s">
        <v>438</v>
      </c>
      <c r="H8" s="60"/>
      <c r="J8" s="61">
        <v>110.8</v>
      </c>
      <c r="K8" s="59">
        <f>1903+110.8</f>
        <v>2013.8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'[1]Дубрава 9'!$G$35</f>
        <v>94129.6151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59" customFormat="1" ht="14.25">
      <c r="A16" s="75" t="s">
        <v>14</v>
      </c>
      <c r="B16" s="41" t="s">
        <v>15</v>
      </c>
      <c r="C16" s="137">
        <f>C17+C18+C19+C20</f>
        <v>9.879999999999999</v>
      </c>
      <c r="D16" s="76">
        <v>222898.74</v>
      </c>
      <c r="E16" s="76">
        <v>217707.45</v>
      </c>
      <c r="F16" s="76">
        <f>D16</f>
        <v>222898.74</v>
      </c>
      <c r="G16" s="77">
        <f>D16-E16</f>
        <v>5191.289999999979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78059.68020242915</v>
      </c>
      <c r="E17" s="83">
        <f>E16*I17</f>
        <v>76241.67783400811</v>
      </c>
      <c r="F17" s="83">
        <f>D17</f>
        <v>78059.68020242915</v>
      </c>
      <c r="G17" s="84">
        <f>D17-E17</f>
        <v>1818.0023684210464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38127.416052631575</v>
      </c>
      <c r="E18" s="83">
        <f>E16*I18</f>
        <v>37239.432236842105</v>
      </c>
      <c r="F18" s="83">
        <f>D18</f>
        <v>38127.416052631575</v>
      </c>
      <c r="G18" s="84">
        <f>D18-E18</f>
        <v>887.9838157894701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38127.416052631575</v>
      </c>
      <c r="E19" s="83">
        <f>E16*I19</f>
        <v>37239.432236842105</v>
      </c>
      <c r="F19" s="83">
        <f>D19</f>
        <v>38127.416052631575</v>
      </c>
      <c r="G19" s="84">
        <f>D19-E19</f>
        <v>887.9838157894701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68584.22769230769</v>
      </c>
      <c r="E20" s="83">
        <f>E16*I20</f>
        <v>66986.9076923077</v>
      </c>
      <c r="F20" s="83">
        <f>D20</f>
        <v>68584.22769230769</v>
      </c>
      <c r="G20" s="84">
        <f>D20-E20</f>
        <v>1597.3199999999924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87">
        <v>1.86</v>
      </c>
      <c r="D24" s="87">
        <v>42007.52</v>
      </c>
      <c r="E24" s="87">
        <v>40842.33</v>
      </c>
      <c r="F24" s="87">
        <f>F39</f>
        <v>27207.953299999997</v>
      </c>
      <c r="G24" s="77">
        <f t="shared" si="0"/>
        <v>1165.189999999995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77">
        <v>0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930976.5800000001</v>
      </c>
      <c r="E26" s="77">
        <f>SUM(E27:E30)</f>
        <v>902125.32</v>
      </c>
      <c r="F26" s="77">
        <f>SUM(F27:F30)</f>
        <v>930976.5800000001</v>
      </c>
      <c r="G26" s="77">
        <f t="shared" si="0"/>
        <v>28851.260000000126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5241.34</v>
      </c>
      <c r="E27" s="84">
        <v>5132.73</v>
      </c>
      <c r="F27" s="84">
        <f>D27</f>
        <v>5241.34</v>
      </c>
      <c r="G27" s="84">
        <f t="shared" si="0"/>
        <v>108.61000000000058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231546.31</v>
      </c>
      <c r="E28" s="84">
        <v>221274.74</v>
      </c>
      <c r="F28" s="84">
        <f>D28</f>
        <v>231546.31</v>
      </c>
      <c r="G28" s="84">
        <f t="shared" si="0"/>
        <v>10271.570000000007</v>
      </c>
    </row>
    <row r="29" spans="1:7" ht="15">
      <c r="A29" s="34" t="s">
        <v>42</v>
      </c>
      <c r="B29" s="34" t="s">
        <v>143</v>
      </c>
      <c r="C29" s="145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694188.93</v>
      </c>
      <c r="E30" s="84">
        <v>675717.85</v>
      </c>
      <c r="F30" s="84">
        <f>D30</f>
        <v>694188.93</v>
      </c>
      <c r="G30" s="84">
        <f t="shared" si="0"/>
        <v>18471.080000000075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641079.19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107763.99180000002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101"/>
      <c r="M36" s="101"/>
    </row>
    <row r="38" spans="1:11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J38" s="74"/>
      <c r="K38" s="74"/>
    </row>
    <row r="39" spans="1:14" s="74" customFormat="1" ht="15">
      <c r="A39" s="109" t="s">
        <v>47</v>
      </c>
      <c r="B39" s="396" t="s">
        <v>114</v>
      </c>
      <c r="C39" s="399"/>
      <c r="D39" s="111"/>
      <c r="E39" s="111"/>
      <c r="F39" s="411">
        <f>SUM(F40:G44)</f>
        <v>27207.953299999997</v>
      </c>
      <c r="G39" s="404"/>
      <c r="H39" s="253"/>
      <c r="I39" s="254"/>
      <c r="J39" s="115"/>
      <c r="K39" s="115"/>
      <c r="N39" s="108"/>
    </row>
    <row r="40" spans="1:7" s="59" customFormat="1" ht="15">
      <c r="A40" s="34" t="s">
        <v>16</v>
      </c>
      <c r="B40" s="369" t="s">
        <v>643</v>
      </c>
      <c r="C40" s="371"/>
      <c r="D40" s="119" t="s">
        <v>241</v>
      </c>
      <c r="E40" s="119">
        <v>0.16</v>
      </c>
      <c r="F40" s="420">
        <v>6817.04</v>
      </c>
      <c r="G40" s="421"/>
    </row>
    <row r="41" spans="1:7" s="59" customFormat="1" ht="15">
      <c r="A41" s="34" t="s">
        <v>18</v>
      </c>
      <c r="B41" s="369" t="s">
        <v>783</v>
      </c>
      <c r="C41" s="371"/>
      <c r="D41" s="119" t="s">
        <v>505</v>
      </c>
      <c r="E41" s="119">
        <v>0.01</v>
      </c>
      <c r="F41" s="420">
        <v>7099.24</v>
      </c>
      <c r="G41" s="421"/>
    </row>
    <row r="42" spans="1:7" s="59" customFormat="1" ht="15">
      <c r="A42" s="34" t="s">
        <v>20</v>
      </c>
      <c r="B42" s="408" t="s">
        <v>837</v>
      </c>
      <c r="C42" s="409"/>
      <c r="D42" s="119" t="s">
        <v>240</v>
      </c>
      <c r="E42" s="119">
        <v>0.01</v>
      </c>
      <c r="F42" s="420">
        <v>2883.25</v>
      </c>
      <c r="G42" s="421"/>
    </row>
    <row r="43" spans="1:7" s="59" customFormat="1" ht="15">
      <c r="A43" s="34" t="s">
        <v>22</v>
      </c>
      <c r="B43" s="123" t="s">
        <v>840</v>
      </c>
      <c r="C43" s="124"/>
      <c r="D43" s="119"/>
      <c r="E43" s="119"/>
      <c r="F43" s="420">
        <v>10000</v>
      </c>
      <c r="G43" s="421"/>
    </row>
    <row r="44" spans="1:7" s="67" customFormat="1" ht="15">
      <c r="A44" s="34" t="s">
        <v>24</v>
      </c>
      <c r="B44" s="408" t="s">
        <v>198</v>
      </c>
      <c r="C44" s="409"/>
      <c r="D44" s="125"/>
      <c r="E44" s="125"/>
      <c r="F44" s="410">
        <f>E24*1%</f>
        <v>408.42330000000004</v>
      </c>
      <c r="G44" s="410"/>
    </row>
    <row r="45" s="59" customFormat="1" ht="12.75"/>
    <row r="46" spans="1:10" s="59" customFormat="1" ht="15">
      <c r="A46" s="67" t="s">
        <v>55</v>
      </c>
      <c r="B46" s="67"/>
      <c r="C46" s="127" t="s">
        <v>49</v>
      </c>
      <c r="D46" s="67"/>
      <c r="E46" s="67"/>
      <c r="F46" s="67" t="s">
        <v>93</v>
      </c>
      <c r="G46" s="67"/>
      <c r="H46" s="158"/>
      <c r="I46" s="158"/>
      <c r="J46" s="158"/>
    </row>
    <row r="47" spans="1:7" s="59" customFormat="1" ht="15">
      <c r="A47" s="67"/>
      <c r="B47" s="67"/>
      <c r="C47" s="127"/>
      <c r="D47" s="67"/>
      <c r="E47" s="67"/>
      <c r="F47" s="128" t="s">
        <v>516</v>
      </c>
      <c r="G47" s="67"/>
    </row>
    <row r="48" spans="1:7" s="59" customFormat="1" ht="15">
      <c r="A48" s="67" t="s">
        <v>50</v>
      </c>
      <c r="B48" s="67"/>
      <c r="C48" s="127"/>
      <c r="D48" s="67"/>
      <c r="E48" s="67"/>
      <c r="F48" s="67"/>
      <c r="G48" s="67"/>
    </row>
    <row r="49" spans="1:7" ht="15">
      <c r="A49" s="67"/>
      <c r="B49" s="67"/>
      <c r="C49" s="129" t="s">
        <v>51</v>
      </c>
      <c r="D49" s="67"/>
      <c r="E49" s="130"/>
      <c r="F49" s="130"/>
      <c r="G49" s="130"/>
    </row>
  </sheetData>
  <sheetProtection/>
  <mergeCells count="22">
    <mergeCell ref="B44:C44"/>
    <mergeCell ref="F44:G44"/>
    <mergeCell ref="B40:C40"/>
    <mergeCell ref="F40:G40"/>
    <mergeCell ref="B41:C41"/>
    <mergeCell ref="F41:G41"/>
    <mergeCell ref="B42:C42"/>
    <mergeCell ref="F42:G42"/>
    <mergeCell ref="F43:G43"/>
    <mergeCell ref="A11:K11"/>
    <mergeCell ref="A32:C32"/>
    <mergeCell ref="A36:K36"/>
    <mergeCell ref="B38:C38"/>
    <mergeCell ref="F38:G38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20">
      <selection activeCell="G34" sqref="G34"/>
    </sheetView>
  </sheetViews>
  <sheetFormatPr defaultColWidth="9.140625" defaultRowHeight="15" outlineLevelCol="1"/>
  <cols>
    <col min="1" max="1" width="5.57421875" style="57" customWidth="1"/>
    <col min="2" max="2" width="47.7109375" style="57" customWidth="1"/>
    <col min="3" max="3" width="15.8515625" style="57" customWidth="1"/>
    <col min="4" max="4" width="14.8515625" style="57" customWidth="1"/>
    <col min="5" max="5" width="12.8515625" style="57" customWidth="1"/>
    <col min="6" max="6" width="13.00390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2" s="59" customFormat="1" ht="16.5" customHeight="1">
      <c r="A7" s="59" t="s">
        <v>2</v>
      </c>
      <c r="F7" s="60" t="s">
        <v>159</v>
      </c>
      <c r="H7" s="60"/>
      <c r="L7" s="61"/>
    </row>
    <row r="8" spans="1:8" s="59" customFormat="1" ht="12.75">
      <c r="A8" s="59" t="s">
        <v>3</v>
      </c>
      <c r="F8" s="310" t="s">
        <v>439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'[1]Дубрава10'!$G$35</f>
        <v>40439.571899999995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59" customFormat="1" ht="28.5">
      <c r="A16" s="75" t="s">
        <v>14</v>
      </c>
      <c r="B16" s="41" t="s">
        <v>15</v>
      </c>
      <c r="C16" s="137">
        <f>C17+C18+C19+C20</f>
        <v>9.879999999999999</v>
      </c>
      <c r="D16" s="76">
        <v>396990.88</v>
      </c>
      <c r="E16" s="76">
        <v>381732.99</v>
      </c>
      <c r="F16" s="76">
        <f>D16</f>
        <v>396990.88</v>
      </c>
      <c r="G16" s="77">
        <f>D16-E16</f>
        <v>15257.890000000014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139027.1705263158</v>
      </c>
      <c r="E17" s="83">
        <f>E16*I17</f>
        <v>133683.8203846154</v>
      </c>
      <c r="F17" s="83">
        <f>D17</f>
        <v>139027.1705263158</v>
      </c>
      <c r="G17" s="84">
        <f>D17-E17</f>
        <v>5343.350141700415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67906.33473684211</v>
      </c>
      <c r="E18" s="83">
        <f>E16*I18</f>
        <v>65296.4325</v>
      </c>
      <c r="F18" s="83">
        <f>D18</f>
        <v>67906.33473684211</v>
      </c>
      <c r="G18" s="84">
        <f>D18-E18</f>
        <v>2609.9022368421065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67906.33473684211</v>
      </c>
      <c r="E19" s="83">
        <f>E16*I19</f>
        <v>65296.4325</v>
      </c>
      <c r="F19" s="83">
        <f>D19</f>
        <v>67906.33473684211</v>
      </c>
      <c r="G19" s="84">
        <f>D19-E19</f>
        <v>2609.9022368421065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122151.04000000001</v>
      </c>
      <c r="E20" s="83">
        <f>E16*I20</f>
        <v>117456.30461538462</v>
      </c>
      <c r="F20" s="83">
        <f>D20</f>
        <v>122151.04000000001</v>
      </c>
      <c r="G20" s="84">
        <f>D20-E20</f>
        <v>4694.735384615386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41" t="s">
        <v>440</v>
      </c>
      <c r="C22" s="97" t="s">
        <v>441</v>
      </c>
      <c r="D22" s="87">
        <v>21000</v>
      </c>
      <c r="E22" s="87">
        <v>20019.25</v>
      </c>
      <c r="F22" s="87">
        <f>D22</f>
        <v>21000</v>
      </c>
      <c r="G22" s="77">
        <f t="shared" si="0"/>
        <v>980.75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87">
        <v>1.86</v>
      </c>
      <c r="D24" s="87">
        <v>72176.04</v>
      </c>
      <c r="E24" s="87">
        <v>71429.23</v>
      </c>
      <c r="F24" s="87">
        <f>F39</f>
        <v>30721.4323</v>
      </c>
      <c r="G24" s="77">
        <f t="shared" si="0"/>
        <v>746.8099999999977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77">
        <v>1902.11</v>
      </c>
      <c r="D25" s="77">
        <v>0</v>
      </c>
      <c r="E25" s="77">
        <v>0</v>
      </c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1722131.71</v>
      </c>
      <c r="E26" s="77">
        <f>SUM(E27:E30)</f>
        <v>1584666.1</v>
      </c>
      <c r="F26" s="77">
        <f>SUM(F27:F30)</f>
        <v>1722131.71</v>
      </c>
      <c r="G26" s="77">
        <f t="shared" si="0"/>
        <v>137465.60999999987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28975.8</v>
      </c>
      <c r="E27" s="84">
        <v>27778.61</v>
      </c>
      <c r="F27" s="84">
        <f>D27</f>
        <v>28975.8</v>
      </c>
      <c r="G27" s="84">
        <f t="shared" si="0"/>
        <v>1197.1899999999987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623338.85</v>
      </c>
      <c r="E28" s="84">
        <v>503379.16</v>
      </c>
      <c r="F28" s="84">
        <f>D28</f>
        <v>623338.85</v>
      </c>
      <c r="G28" s="84">
        <f t="shared" si="0"/>
        <v>119959.69</v>
      </c>
    </row>
    <row r="29" spans="1:7" ht="15">
      <c r="A29" s="34" t="s">
        <v>42</v>
      </c>
      <c r="B29" s="34" t="s">
        <v>143</v>
      </c>
      <c r="C29" s="145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1069817.06</v>
      </c>
      <c r="E30" s="84">
        <v>1053508.33</v>
      </c>
      <c r="F30" s="84">
        <f>D30</f>
        <v>1069817.06</v>
      </c>
      <c r="G30" s="84">
        <f t="shared" si="0"/>
        <v>16308.729999999981</v>
      </c>
    </row>
    <row r="31" spans="1:9" s="102" customFormat="1" ht="18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1176429.92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81147.36959999999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1" s="67" customFormat="1" ht="24.75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</row>
    <row r="37" spans="1:13" s="102" customFormat="1" ht="9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101"/>
      <c r="M37" s="101"/>
    </row>
    <row r="38" spans="1:11" ht="28.5" customHeight="1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J38" s="74"/>
      <c r="K38" s="74"/>
    </row>
    <row r="39" spans="1:11" ht="15">
      <c r="A39" s="109" t="s">
        <v>47</v>
      </c>
      <c r="B39" s="396" t="s">
        <v>114</v>
      </c>
      <c r="C39" s="399"/>
      <c r="D39" s="111"/>
      <c r="E39" s="111"/>
      <c r="F39" s="411">
        <f>SUM(F40:G43)</f>
        <v>30721.4323</v>
      </c>
      <c r="G39" s="404"/>
      <c r="H39" s="253"/>
      <c r="I39" s="254"/>
      <c r="J39" s="115"/>
      <c r="K39" s="115"/>
    </row>
    <row r="40" spans="1:11" ht="15">
      <c r="A40" s="34" t="s">
        <v>16</v>
      </c>
      <c r="B40" s="369" t="s">
        <v>644</v>
      </c>
      <c r="C40" s="371"/>
      <c r="D40" s="119" t="s">
        <v>241</v>
      </c>
      <c r="E40" s="119">
        <v>0.03</v>
      </c>
      <c r="F40" s="420">
        <v>3367.14</v>
      </c>
      <c r="G40" s="421"/>
      <c r="H40" s="113"/>
      <c r="I40" s="114"/>
      <c r="J40" s="115"/>
      <c r="K40" s="115"/>
    </row>
    <row r="41" spans="1:11" ht="15">
      <c r="A41" s="34" t="s">
        <v>18</v>
      </c>
      <c r="B41" s="369" t="s">
        <v>747</v>
      </c>
      <c r="C41" s="371"/>
      <c r="D41" s="119" t="s">
        <v>248</v>
      </c>
      <c r="E41" s="119">
        <v>2</v>
      </c>
      <c r="F41" s="420">
        <v>440</v>
      </c>
      <c r="G41" s="421"/>
      <c r="H41" s="113"/>
      <c r="I41" s="114"/>
      <c r="J41" s="115"/>
      <c r="K41" s="115"/>
    </row>
    <row r="42" spans="1:11" ht="15">
      <c r="A42" s="259" t="s">
        <v>20</v>
      </c>
      <c r="B42" s="369" t="s">
        <v>804</v>
      </c>
      <c r="C42" s="371"/>
      <c r="D42" s="119"/>
      <c r="E42" s="119"/>
      <c r="F42" s="420">
        <v>26200</v>
      </c>
      <c r="G42" s="421"/>
      <c r="H42" s="113"/>
      <c r="I42" s="114"/>
      <c r="J42" s="115"/>
      <c r="K42" s="115"/>
    </row>
    <row r="43" spans="1:14" s="115" customFormat="1" ht="15" customHeight="1">
      <c r="A43" s="259" t="s">
        <v>22</v>
      </c>
      <c r="B43" s="408" t="s">
        <v>198</v>
      </c>
      <c r="C43" s="409"/>
      <c r="D43" s="125"/>
      <c r="E43" s="125"/>
      <c r="F43" s="410">
        <f>E24*1%</f>
        <v>714.2923</v>
      </c>
      <c r="G43" s="410"/>
      <c r="H43" s="59"/>
      <c r="I43" s="59"/>
      <c r="J43" s="59"/>
      <c r="K43" s="59"/>
      <c r="N43" s="116"/>
    </row>
    <row r="44" spans="1:14" ht="15.75" customHeight="1">
      <c r="A44" s="59"/>
      <c r="B44" s="59"/>
      <c r="C44" s="59"/>
      <c r="D44" s="59"/>
      <c r="E44" s="59"/>
      <c r="F44" s="59"/>
      <c r="G44" s="59"/>
      <c r="H44" s="67"/>
      <c r="I44" s="67"/>
      <c r="J44" s="67"/>
      <c r="K44" s="67"/>
      <c r="N44" s="120"/>
    </row>
    <row r="45" spans="1:11" ht="15">
      <c r="A45" s="67" t="s">
        <v>55</v>
      </c>
      <c r="B45" s="67"/>
      <c r="C45" s="127" t="s">
        <v>49</v>
      </c>
      <c r="D45" s="67"/>
      <c r="E45" s="67"/>
      <c r="F45" s="67" t="s">
        <v>93</v>
      </c>
      <c r="G45" s="67"/>
      <c r="H45" s="59"/>
      <c r="I45" s="59"/>
      <c r="J45" s="59"/>
      <c r="K45" s="59"/>
    </row>
    <row r="46" spans="1:10" s="59" customFormat="1" ht="15">
      <c r="A46" s="67"/>
      <c r="B46" s="67"/>
      <c r="C46" s="127"/>
      <c r="D46" s="67"/>
      <c r="E46" s="67"/>
      <c r="F46" s="128" t="s">
        <v>516</v>
      </c>
      <c r="G46" s="67"/>
      <c r="H46" s="158"/>
      <c r="I46" s="158"/>
      <c r="J46" s="158"/>
    </row>
    <row r="47" spans="1:7" s="59" customFormat="1" ht="15">
      <c r="A47" s="67" t="s">
        <v>50</v>
      </c>
      <c r="B47" s="67"/>
      <c r="C47" s="127"/>
      <c r="D47" s="67"/>
      <c r="E47" s="67"/>
      <c r="F47" s="67"/>
      <c r="G47" s="67"/>
    </row>
    <row r="48" spans="1:7" s="59" customFormat="1" ht="15">
      <c r="A48" s="67"/>
      <c r="B48" s="67"/>
      <c r="C48" s="129" t="s">
        <v>51</v>
      </c>
      <c r="D48" s="67"/>
      <c r="E48" s="130"/>
      <c r="F48" s="130"/>
      <c r="G48" s="130"/>
    </row>
    <row r="49" s="59" customFormat="1" ht="12.75"/>
  </sheetData>
  <sheetProtection/>
  <mergeCells count="22">
    <mergeCell ref="A11:K11"/>
    <mergeCell ref="A31:F31"/>
    <mergeCell ref="B40:C40"/>
    <mergeCell ref="F40:G40"/>
    <mergeCell ref="B41:C41"/>
    <mergeCell ref="F41:G41"/>
    <mergeCell ref="A32:C32"/>
    <mergeCell ref="A36:K36"/>
    <mergeCell ref="B38:C38"/>
    <mergeCell ref="F38:G38"/>
    <mergeCell ref="B39:C39"/>
    <mergeCell ref="F39:G39"/>
    <mergeCell ref="B42:C42"/>
    <mergeCell ref="F42:G42"/>
    <mergeCell ref="B43:C43"/>
    <mergeCell ref="F43:G43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7030A0"/>
  </sheetPr>
  <dimension ref="A1:P51"/>
  <sheetViews>
    <sheetView zoomScalePageLayoutView="0" workbookViewId="0" topLeftCell="A34">
      <selection activeCell="G34" sqref="G34"/>
    </sheetView>
  </sheetViews>
  <sheetFormatPr defaultColWidth="9.140625" defaultRowHeight="15" outlineLevelCol="1"/>
  <cols>
    <col min="1" max="1" width="5.8515625" style="57" customWidth="1"/>
    <col min="2" max="2" width="49.140625" style="57" customWidth="1"/>
    <col min="3" max="4" width="14.8515625" style="57" customWidth="1"/>
    <col min="5" max="5" width="13.421875" style="57" customWidth="1"/>
    <col min="6" max="6" width="13.71093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2" s="59" customFormat="1" ht="16.5" customHeight="1">
      <c r="A7" s="59" t="s">
        <v>2</v>
      </c>
      <c r="F7" s="60" t="s">
        <v>188</v>
      </c>
      <c r="H7" s="60"/>
      <c r="L7" s="61"/>
    </row>
    <row r="8" spans="1:8" s="59" customFormat="1" ht="12.75">
      <c r="A8" s="59" t="s">
        <v>3</v>
      </c>
      <c r="F8" s="310" t="s">
        <v>442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387</v>
      </c>
      <c r="B13" s="64"/>
      <c r="C13" s="64"/>
      <c r="D13" s="69"/>
      <c r="E13" s="70"/>
      <c r="F13" s="70"/>
      <c r="G13" s="65">
        <f>'[1]Дубрава 11'!$G$35</f>
        <v>128716.66699999999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59" customFormat="1" ht="14.25">
      <c r="A16" s="75" t="s">
        <v>14</v>
      </c>
      <c r="B16" s="41" t="s">
        <v>15</v>
      </c>
      <c r="C16" s="137">
        <f>C17+C18+C19+C20</f>
        <v>9.879999999999999</v>
      </c>
      <c r="D16" s="76">
        <v>434715.21</v>
      </c>
      <c r="E16" s="76">
        <v>494301.21</v>
      </c>
      <c r="F16" s="76">
        <f>D16</f>
        <v>434715.21</v>
      </c>
      <c r="G16" s="77">
        <f>D16-E16</f>
        <v>-59586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152238.32253036438</v>
      </c>
      <c r="E17" s="83">
        <f>E16*I17</f>
        <v>173105.48447368422</v>
      </c>
      <c r="F17" s="83">
        <f>D17</f>
        <v>152238.32253036438</v>
      </c>
      <c r="G17" s="84">
        <f>D17-E17</f>
        <v>-20867.161943319836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74359.18065789474</v>
      </c>
      <c r="E18" s="83">
        <f>E16*I18</f>
        <v>84551.5227631579</v>
      </c>
      <c r="F18" s="83">
        <f>D18</f>
        <v>74359.18065789474</v>
      </c>
      <c r="G18" s="84">
        <f>D18-E18</f>
        <v>-10192.34210526316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74359.18065789474</v>
      </c>
      <c r="E19" s="83">
        <f>E16*I19</f>
        <v>84551.5227631579</v>
      </c>
      <c r="F19" s="83">
        <f>D19</f>
        <v>74359.18065789474</v>
      </c>
      <c r="G19" s="84">
        <f>D19-E19</f>
        <v>-10192.34210526316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133758.52615384618</v>
      </c>
      <c r="E20" s="83">
        <f>E16*I20</f>
        <v>152092.68000000002</v>
      </c>
      <c r="F20" s="83">
        <f>D20</f>
        <v>133758.52615384618</v>
      </c>
      <c r="G20" s="84">
        <f>D20-E20</f>
        <v>-18334.153846153844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87">
        <v>1.86</v>
      </c>
      <c r="D24" s="87">
        <v>81878.59</v>
      </c>
      <c r="E24" s="87">
        <v>85449.01</v>
      </c>
      <c r="F24" s="87">
        <f>F39</f>
        <v>26219.4201</v>
      </c>
      <c r="G24" s="77">
        <f t="shared" si="0"/>
        <v>-3570.4199999999983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77">
        <v>12.54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1962753.3599999999</v>
      </c>
      <c r="E26" s="77">
        <f>SUM(E27:E30)</f>
        <v>2098106.44</v>
      </c>
      <c r="F26" s="77">
        <f>SUM(F27:F30)</f>
        <v>1962753.3599999999</v>
      </c>
      <c r="G26" s="77">
        <f t="shared" si="0"/>
        <v>-135353.08000000007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30969.65</v>
      </c>
      <c r="E27" s="84">
        <v>32665.83</v>
      </c>
      <c r="F27" s="84">
        <f>D27</f>
        <v>30969.65</v>
      </c>
      <c r="G27" s="84">
        <f t="shared" si="0"/>
        <v>-1696.1800000000003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606095.19</v>
      </c>
      <c r="E28" s="84">
        <v>681886.17</v>
      </c>
      <c r="F28" s="84">
        <f>D28</f>
        <v>606095.19</v>
      </c>
      <c r="G28" s="84">
        <f t="shared" si="0"/>
        <v>-75790.9800000001</v>
      </c>
    </row>
    <row r="29" spans="1:7" ht="15">
      <c r="A29" s="34" t="s">
        <v>42</v>
      </c>
      <c r="B29" s="34" t="s">
        <v>143</v>
      </c>
      <c r="C29" s="145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1325688.52</v>
      </c>
      <c r="E30" s="84">
        <v>1383554.44</v>
      </c>
      <c r="F30" s="84">
        <f>D30</f>
        <v>1325688.52</v>
      </c>
      <c r="G30" s="84">
        <f t="shared" si="0"/>
        <v>-57865.919999999925</v>
      </c>
    </row>
    <row r="31" spans="1:9" s="102" customFormat="1" ht="15.7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459228.05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187946.25689999998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101"/>
      <c r="M36" s="101"/>
    </row>
    <row r="38" spans="1:11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J38" s="74"/>
      <c r="K38" s="74"/>
    </row>
    <row r="39" spans="1:14" s="74" customFormat="1" ht="15">
      <c r="A39" s="109" t="s">
        <v>47</v>
      </c>
      <c r="B39" s="396" t="s">
        <v>114</v>
      </c>
      <c r="C39" s="399"/>
      <c r="D39" s="111"/>
      <c r="E39" s="111"/>
      <c r="F39" s="411">
        <f>SUM(F40:G46)</f>
        <v>26219.4201</v>
      </c>
      <c r="G39" s="404"/>
      <c r="H39" s="253"/>
      <c r="I39" s="254"/>
      <c r="J39" s="115"/>
      <c r="K39" s="115"/>
      <c r="N39" s="108"/>
    </row>
    <row r="40" spans="1:14" s="115" customFormat="1" ht="15">
      <c r="A40" s="34" t="s">
        <v>16</v>
      </c>
      <c r="B40" s="369" t="s">
        <v>608</v>
      </c>
      <c r="C40" s="371"/>
      <c r="D40" s="119" t="s">
        <v>241</v>
      </c>
      <c r="E40" s="119">
        <v>0.02</v>
      </c>
      <c r="F40" s="420">
        <v>2118.17</v>
      </c>
      <c r="G40" s="421"/>
      <c r="H40" s="255"/>
      <c r="I40" s="256"/>
      <c r="J40" s="57"/>
      <c r="K40" s="57"/>
      <c r="N40" s="116"/>
    </row>
    <row r="41" spans="1:7" s="59" customFormat="1" ht="27" customHeight="1">
      <c r="A41" s="34" t="s">
        <v>18</v>
      </c>
      <c r="B41" s="369" t="s">
        <v>645</v>
      </c>
      <c r="C41" s="371"/>
      <c r="D41" s="119" t="s">
        <v>248</v>
      </c>
      <c r="E41" s="119">
        <v>1</v>
      </c>
      <c r="F41" s="420">
        <v>4994.47</v>
      </c>
      <c r="G41" s="421"/>
    </row>
    <row r="42" spans="1:7" s="59" customFormat="1" ht="20.25" customHeight="1">
      <c r="A42" s="34" t="s">
        <v>20</v>
      </c>
      <c r="B42" s="369" t="s">
        <v>784</v>
      </c>
      <c r="C42" s="371"/>
      <c r="D42" s="119" t="s">
        <v>240</v>
      </c>
      <c r="E42" s="119">
        <v>0.1</v>
      </c>
      <c r="F42" s="420">
        <v>1969.03</v>
      </c>
      <c r="G42" s="421"/>
    </row>
    <row r="43" spans="1:7" s="59" customFormat="1" ht="15">
      <c r="A43" s="34" t="s">
        <v>22</v>
      </c>
      <c r="B43" s="369" t="s">
        <v>785</v>
      </c>
      <c r="C43" s="371"/>
      <c r="D43" s="119" t="s">
        <v>505</v>
      </c>
      <c r="E43" s="119">
        <v>0.01</v>
      </c>
      <c r="F43" s="420">
        <v>596.21</v>
      </c>
      <c r="G43" s="421"/>
    </row>
    <row r="44" spans="1:7" s="59" customFormat="1" ht="15">
      <c r="A44" s="34" t="s">
        <v>24</v>
      </c>
      <c r="B44" s="369" t="s">
        <v>838</v>
      </c>
      <c r="C44" s="371"/>
      <c r="D44" s="119" t="s">
        <v>240</v>
      </c>
      <c r="E44" s="119">
        <v>0.06</v>
      </c>
      <c r="F44" s="420">
        <v>5687.05</v>
      </c>
      <c r="G44" s="421"/>
    </row>
    <row r="45" spans="1:7" s="59" customFormat="1" ht="15">
      <c r="A45" s="34" t="s">
        <v>106</v>
      </c>
      <c r="B45" s="117" t="s">
        <v>840</v>
      </c>
      <c r="C45" s="118"/>
      <c r="D45" s="119"/>
      <c r="E45" s="119"/>
      <c r="F45" s="420">
        <v>10000</v>
      </c>
      <c r="G45" s="421"/>
    </row>
    <row r="46" spans="1:10" s="59" customFormat="1" ht="15">
      <c r="A46" s="34" t="s">
        <v>106</v>
      </c>
      <c r="B46" s="408" t="s">
        <v>198</v>
      </c>
      <c r="C46" s="409"/>
      <c r="D46" s="125"/>
      <c r="E46" s="125"/>
      <c r="F46" s="410">
        <f>E24*1%</f>
        <v>854.4901</v>
      </c>
      <c r="G46" s="410"/>
      <c r="H46" s="158"/>
      <c r="I46" s="158"/>
      <c r="J46" s="158"/>
    </row>
    <row r="47" s="59" customFormat="1" ht="12.75"/>
    <row r="48" spans="1:7" s="59" customFormat="1" ht="15">
      <c r="A48" s="67" t="s">
        <v>55</v>
      </c>
      <c r="B48" s="67"/>
      <c r="C48" s="127" t="s">
        <v>49</v>
      </c>
      <c r="D48" s="67"/>
      <c r="E48" s="67"/>
      <c r="F48" s="67" t="s">
        <v>93</v>
      </c>
      <c r="G48" s="67"/>
    </row>
    <row r="49" spans="1:7" ht="15">
      <c r="A49" s="67"/>
      <c r="B49" s="67"/>
      <c r="C49" s="127"/>
      <c r="D49" s="67"/>
      <c r="E49" s="67"/>
      <c r="F49" s="128" t="s">
        <v>516</v>
      </c>
      <c r="G49" s="67"/>
    </row>
    <row r="50" spans="1:7" ht="15">
      <c r="A50" s="67" t="s">
        <v>50</v>
      </c>
      <c r="B50" s="67"/>
      <c r="C50" s="127"/>
      <c r="D50" s="67"/>
      <c r="E50" s="67"/>
      <c r="F50" s="67"/>
      <c r="G50" s="67"/>
    </row>
    <row r="51" spans="1:7" ht="15">
      <c r="A51" s="67"/>
      <c r="B51" s="67"/>
      <c r="C51" s="129" t="s">
        <v>51</v>
      </c>
      <c r="D51" s="67"/>
      <c r="E51" s="130"/>
      <c r="F51" s="130"/>
      <c r="G51" s="130"/>
    </row>
  </sheetData>
  <sheetProtection/>
  <mergeCells count="27">
    <mergeCell ref="B42:C42"/>
    <mergeCell ref="F42:G42"/>
    <mergeCell ref="B46:C46"/>
    <mergeCell ref="F46:G46"/>
    <mergeCell ref="B43:C43"/>
    <mergeCell ref="F43:G43"/>
    <mergeCell ref="B44:C44"/>
    <mergeCell ref="F44:G44"/>
    <mergeCell ref="F45:G45"/>
    <mergeCell ref="B39:C39"/>
    <mergeCell ref="F39:G39"/>
    <mergeCell ref="B40:C40"/>
    <mergeCell ref="F40:G40"/>
    <mergeCell ref="B41:C41"/>
    <mergeCell ref="F41:G41"/>
    <mergeCell ref="A11:K11"/>
    <mergeCell ref="A32:C32"/>
    <mergeCell ref="A36:K36"/>
    <mergeCell ref="B38:C38"/>
    <mergeCell ref="F38:G38"/>
    <mergeCell ref="A31:F31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7030A0"/>
  </sheetPr>
  <dimension ref="A1:L46"/>
  <sheetViews>
    <sheetView zoomScalePageLayoutView="0" workbookViewId="0" topLeftCell="A25">
      <selection activeCell="G34" sqref="G34"/>
    </sheetView>
  </sheetViews>
  <sheetFormatPr defaultColWidth="9.140625" defaultRowHeight="15" outlineLevelCol="1"/>
  <cols>
    <col min="1" max="1" width="5.421875" style="57" customWidth="1"/>
    <col min="2" max="2" width="48.57421875" style="57" customWidth="1"/>
    <col min="3" max="3" width="15.421875" style="57" customWidth="1"/>
    <col min="4" max="4" width="14.8515625" style="57" customWidth="1"/>
    <col min="5" max="5" width="13.57421875" style="57" customWidth="1"/>
    <col min="6" max="6" width="13.00390625" style="57" customWidth="1"/>
    <col min="7" max="7" width="14.57421875" style="57" customWidth="1"/>
    <col min="8" max="9" width="11.57421875" style="57" hidden="1" customWidth="1" outlineLevel="1"/>
    <col min="10" max="10" width="9.140625" style="57" customWidth="1" collapsed="1"/>
    <col min="11" max="11" width="10.00390625" style="57" bestFit="1" customWidth="1"/>
    <col min="12" max="12" width="15.8515625" style="57" customWidth="1"/>
    <col min="13" max="16384" width="9.140625" style="57" customWidth="1"/>
  </cols>
  <sheetData>
    <row r="1" spans="1:9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</row>
    <row r="2" spans="1:9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</row>
    <row r="3" spans="1:9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</row>
    <row r="7" spans="1:8" s="59" customFormat="1" ht="16.5" customHeight="1">
      <c r="A7" s="59" t="s">
        <v>2</v>
      </c>
      <c r="F7" s="60" t="s">
        <v>217</v>
      </c>
      <c r="H7" s="60"/>
    </row>
    <row r="8" spans="1:8" s="59" customFormat="1" ht="12.75">
      <c r="A8" s="59" t="s">
        <v>3</v>
      </c>
      <c r="F8" s="310" t="s">
        <v>443</v>
      </c>
      <c r="H8" s="60"/>
    </row>
    <row r="9" spans="1:9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</row>
    <row r="10" spans="1:9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</row>
    <row r="11" spans="1:9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6" customHeight="1" thickBot="1">
      <c r="A12" s="260"/>
      <c r="B12" s="260"/>
      <c r="C12" s="260"/>
      <c r="D12" s="40"/>
      <c r="E12" s="66"/>
      <c r="F12" s="66"/>
      <c r="G12" s="66"/>
      <c r="H12" s="62"/>
      <c r="I12" s="62"/>
    </row>
    <row r="13" spans="1:9" s="67" customFormat="1" ht="15.75" thickBot="1">
      <c r="A13" s="261" t="s">
        <v>313</v>
      </c>
      <c r="B13" s="262"/>
      <c r="C13" s="262"/>
      <c r="D13" s="263"/>
      <c r="E13" s="70"/>
      <c r="F13" s="70"/>
      <c r="G13" s="65">
        <f>'[3]Нефтебаза 1'!$G$35</f>
        <v>79575.14630000001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2" s="59" customFormat="1" ht="14.25">
      <c r="A16" s="75" t="s">
        <v>14</v>
      </c>
      <c r="B16" s="41" t="s">
        <v>15</v>
      </c>
      <c r="C16" s="137">
        <f>C17+C18+C19+C20</f>
        <v>9.879999999999999</v>
      </c>
      <c r="D16" s="76">
        <v>157958.98</v>
      </c>
      <c r="E16" s="76">
        <v>152606.7</v>
      </c>
      <c r="F16" s="76">
        <f>D16</f>
        <v>157958.98</v>
      </c>
      <c r="G16" s="77">
        <f>D16-E16</f>
        <v>5352.279999999999</v>
      </c>
      <c r="H16" s="78">
        <f>C16</f>
        <v>9.879999999999999</v>
      </c>
      <c r="I16" s="79"/>
      <c r="K16" s="78"/>
      <c r="L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55317.6185020243</v>
      </c>
      <c r="E17" s="83">
        <f>E16*I17</f>
        <v>53443.23704453442</v>
      </c>
      <c r="F17" s="83">
        <f>D17</f>
        <v>55317.6185020243</v>
      </c>
      <c r="G17" s="84">
        <f>D17-E17</f>
        <v>1874.3814574898788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27019.29921052632</v>
      </c>
      <c r="E18" s="83">
        <f>E16*I18</f>
        <v>26103.77763157895</v>
      </c>
      <c r="F18" s="83">
        <f>D18</f>
        <v>27019.29921052632</v>
      </c>
      <c r="G18" s="84">
        <f>D18-E18</f>
        <v>915.5215789473696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27019.29921052632</v>
      </c>
      <c r="E19" s="83">
        <f>E16*I19</f>
        <v>26103.77763157895</v>
      </c>
      <c r="F19" s="83">
        <f>D19</f>
        <v>27019.29921052632</v>
      </c>
      <c r="G19" s="84">
        <f>D19-E19</f>
        <v>915.5215789473696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48602.76307692308</v>
      </c>
      <c r="E20" s="83">
        <f>E16*I20</f>
        <v>46955.9076923077</v>
      </c>
      <c r="F20" s="83">
        <f>D20</f>
        <v>48602.76307692308</v>
      </c>
      <c r="G20" s="84">
        <f>D20-E20</f>
        <v>1646.855384615381</v>
      </c>
      <c r="H20" s="78">
        <f>C20</f>
        <v>3.04</v>
      </c>
      <c r="I20" s="59">
        <f>H20/H16</f>
        <v>0.3076923076923077</v>
      </c>
    </row>
    <row r="21" spans="1:9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</row>
    <row r="22" spans="1:9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</row>
    <row r="23" spans="1:9" s="89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</row>
    <row r="24" spans="1:9" s="89" customFormat="1" ht="14.25">
      <c r="A24" s="86" t="s">
        <v>31</v>
      </c>
      <c r="B24" s="86" t="s">
        <v>119</v>
      </c>
      <c r="C24" s="87">
        <v>3</v>
      </c>
      <c r="D24" s="87">
        <v>48536.4</v>
      </c>
      <c r="E24" s="87">
        <v>46951.05</v>
      </c>
      <c r="F24" s="87">
        <f>F39</f>
        <v>10469.5105</v>
      </c>
      <c r="G24" s="77">
        <f t="shared" si="0"/>
        <v>1585.3499999999985</v>
      </c>
      <c r="H24" s="88"/>
      <c r="I24" s="88"/>
    </row>
    <row r="25" spans="1:9" ht="14.25">
      <c r="A25" s="41" t="s">
        <v>33</v>
      </c>
      <c r="B25" s="41" t="s">
        <v>168</v>
      </c>
      <c r="C25" s="77">
        <v>0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</row>
    <row r="26" spans="1:9" ht="14.25">
      <c r="A26" s="41" t="s">
        <v>35</v>
      </c>
      <c r="B26" s="41" t="s">
        <v>36</v>
      </c>
      <c r="C26" s="77"/>
      <c r="D26" s="77">
        <f>SUM(D27:D30)</f>
        <v>832483.04</v>
      </c>
      <c r="E26" s="77">
        <f>SUM(E27:E30)</f>
        <v>818596.14</v>
      </c>
      <c r="F26" s="77">
        <f>SUM(F27:F30)</f>
        <v>832483.04</v>
      </c>
      <c r="G26" s="77">
        <f t="shared" si="0"/>
        <v>13886.900000000023</v>
      </c>
      <c r="H26" s="98"/>
      <c r="I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6778.12</v>
      </c>
      <c r="E27" s="84">
        <v>6843.66</v>
      </c>
      <c r="F27" s="84">
        <f>D27</f>
        <v>6778.12</v>
      </c>
      <c r="G27" s="84">
        <f t="shared" si="0"/>
        <v>-65.53999999999996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241954.31</v>
      </c>
      <c r="E28" s="84">
        <v>246879.84</v>
      </c>
      <c r="F28" s="84">
        <f>D28</f>
        <v>241954.31</v>
      </c>
      <c r="G28" s="84">
        <f t="shared" si="0"/>
        <v>-4925.529999999999</v>
      </c>
    </row>
    <row r="29" spans="1:7" ht="15">
      <c r="A29" s="34" t="s">
        <v>42</v>
      </c>
      <c r="B29" s="34" t="s">
        <v>143</v>
      </c>
      <c r="C29" s="145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583750.61</v>
      </c>
      <c r="E30" s="84">
        <v>564872.64</v>
      </c>
      <c r="F30" s="84">
        <f>D30</f>
        <v>583750.61</v>
      </c>
      <c r="G30" s="84">
        <f t="shared" si="0"/>
        <v>18877.969999999972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265019.29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0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116056.6858</v>
      </c>
      <c r="H34" s="62"/>
      <c r="I34" s="62"/>
      <c r="J34" s="147"/>
    </row>
    <row r="35" spans="1:9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</row>
    <row r="36" spans="1:9" s="102" customFormat="1" ht="29.25" customHeight="1">
      <c r="A36" s="367" t="s">
        <v>44</v>
      </c>
      <c r="B36" s="403"/>
      <c r="C36" s="403"/>
      <c r="D36" s="403"/>
      <c r="E36" s="403"/>
      <c r="F36" s="403"/>
      <c r="G36" s="403"/>
      <c r="H36" s="58"/>
      <c r="I36" s="58"/>
    </row>
    <row r="38" spans="1:9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497" t="s">
        <v>46</v>
      </c>
      <c r="G38" s="497"/>
      <c r="H38" s="106"/>
      <c r="I38" s="107"/>
    </row>
    <row r="39" spans="1:10" s="74" customFormat="1" ht="15">
      <c r="A39" s="109" t="s">
        <v>47</v>
      </c>
      <c r="B39" s="396" t="s">
        <v>114</v>
      </c>
      <c r="C39" s="399"/>
      <c r="D39" s="111"/>
      <c r="E39" s="111"/>
      <c r="F39" s="507">
        <f>SUM(F40:G41)</f>
        <v>10469.5105</v>
      </c>
      <c r="G39" s="508"/>
      <c r="H39" s="113"/>
      <c r="I39" s="114"/>
      <c r="J39" s="108"/>
    </row>
    <row r="40" spans="1:10" s="115" customFormat="1" ht="15" customHeight="1">
      <c r="A40" s="34" t="s">
        <v>16</v>
      </c>
      <c r="B40" s="369" t="s">
        <v>842</v>
      </c>
      <c r="C40" s="415"/>
      <c r="D40" s="119"/>
      <c r="E40" s="154"/>
      <c r="F40" s="410">
        <v>10000</v>
      </c>
      <c r="G40" s="410"/>
      <c r="H40" s="40"/>
      <c r="I40" s="40"/>
      <c r="J40" s="116"/>
    </row>
    <row r="41" spans="1:10" ht="15.75" customHeight="1">
      <c r="A41" s="34" t="s">
        <v>18</v>
      </c>
      <c r="B41" s="408" t="s">
        <v>198</v>
      </c>
      <c r="C41" s="409"/>
      <c r="D41" s="125"/>
      <c r="E41" s="125"/>
      <c r="F41" s="410">
        <f>E24*1%</f>
        <v>469.51050000000004</v>
      </c>
      <c r="G41" s="410"/>
      <c r="H41" s="59"/>
      <c r="I41" s="59"/>
      <c r="J41" s="120"/>
    </row>
    <row r="42" spans="1:9" ht="7.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s="59" customFormat="1" ht="15">
      <c r="A43" s="67" t="s">
        <v>55</v>
      </c>
      <c r="B43" s="67"/>
      <c r="C43" s="127" t="s">
        <v>49</v>
      </c>
      <c r="D43" s="67"/>
      <c r="E43" s="67"/>
      <c r="F43" s="67" t="s">
        <v>93</v>
      </c>
      <c r="G43" s="67"/>
      <c r="H43" s="67"/>
      <c r="I43" s="67"/>
    </row>
    <row r="44" spans="1:7" s="59" customFormat="1" ht="15">
      <c r="A44" s="67"/>
      <c r="B44" s="67"/>
      <c r="C44" s="127"/>
      <c r="D44" s="67"/>
      <c r="E44" s="67"/>
      <c r="F44" s="128" t="s">
        <v>516</v>
      </c>
      <c r="G44" s="67"/>
    </row>
    <row r="45" spans="1:9" s="67" customFormat="1" ht="15">
      <c r="A45" s="67" t="s">
        <v>50</v>
      </c>
      <c r="C45" s="127"/>
      <c r="H45" s="158"/>
      <c r="I45" s="158"/>
    </row>
    <row r="46" spans="1:7" s="59" customFormat="1" ht="15">
      <c r="A46" s="67"/>
      <c r="B46" s="67"/>
      <c r="C46" s="129" t="s">
        <v>51</v>
      </c>
      <c r="D46" s="67"/>
      <c r="E46" s="130"/>
      <c r="F46" s="130"/>
      <c r="G46" s="130"/>
    </row>
    <row r="47" s="59" customFormat="1" ht="12.75"/>
    <row r="48" s="59" customFormat="1" ht="12.75"/>
  </sheetData>
  <sheetProtection/>
  <mergeCells count="17">
    <mergeCell ref="F39:G39"/>
    <mergeCell ref="A10:I10"/>
    <mergeCell ref="A11:I11"/>
    <mergeCell ref="A32:C32"/>
    <mergeCell ref="B38:C38"/>
    <mergeCell ref="F38:G38"/>
    <mergeCell ref="A36:G36"/>
    <mergeCell ref="B40:C40"/>
    <mergeCell ref="F40:G40"/>
    <mergeCell ref="B41:C41"/>
    <mergeCell ref="F41:G41"/>
    <mergeCell ref="A1:I1"/>
    <mergeCell ref="A2:I2"/>
    <mergeCell ref="A3:I3"/>
    <mergeCell ref="A5:I5"/>
    <mergeCell ref="A9:I9"/>
    <mergeCell ref="B39:C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3"/>
  <sheetViews>
    <sheetView zoomScalePageLayoutView="0" workbookViewId="0" topLeftCell="A22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6.8515625" style="35" customWidth="1"/>
    <col min="3" max="3" width="13.57421875" style="35" customWidth="1"/>
    <col min="4" max="5" width="13.140625" style="35" bestFit="1" customWidth="1"/>
    <col min="6" max="6" width="14.140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6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7.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.75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6" ht="8.25" customHeight="1"/>
    <row r="7" spans="1:6" s="67" customFormat="1" ht="16.5" customHeight="1">
      <c r="A7" s="67" t="s">
        <v>2</v>
      </c>
      <c r="F7" s="128" t="s">
        <v>124</v>
      </c>
    </row>
    <row r="8" spans="1:6" s="67" customFormat="1" ht="15">
      <c r="A8" s="67" t="s">
        <v>3</v>
      </c>
      <c r="F8" s="128" t="s">
        <v>388</v>
      </c>
    </row>
    <row r="9" s="67" customFormat="1" ht="7.5" customHeight="1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'[1]Социалистическая 3'!$G$37</f>
        <v>-695571.49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'[1]Социалистическая 3'!$G$38</f>
        <v>-610451.5407</v>
      </c>
      <c r="H15" s="62"/>
      <c r="I15" s="62"/>
    </row>
    <row r="16" s="67" customFormat="1" ht="6.75" customHeight="1"/>
    <row r="17" spans="1:8" s="74" customFormat="1" ht="51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  <c r="H17" s="72" t="s">
        <v>199</v>
      </c>
    </row>
    <row r="18" spans="1:8" s="169" customFormat="1" ht="28.5">
      <c r="A18" s="75" t="s">
        <v>14</v>
      </c>
      <c r="B18" s="41" t="s">
        <v>15</v>
      </c>
      <c r="C18" s="137">
        <f>C19+C20+C21+C22</f>
        <v>9.879999999999999</v>
      </c>
      <c r="D18" s="76">
        <v>537558.55</v>
      </c>
      <c r="E18" s="76">
        <v>500729.24</v>
      </c>
      <c r="F18" s="76">
        <f>D18</f>
        <v>537558.55</v>
      </c>
      <c r="G18" s="77">
        <f>D18-E18</f>
        <v>36829.310000000056</v>
      </c>
      <c r="H18" s="168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188254.31002024293</v>
      </c>
      <c r="E19" s="83">
        <f>E18*I19</f>
        <v>175356.596194332</v>
      </c>
      <c r="F19" s="83">
        <f>D19</f>
        <v>188254.31002024293</v>
      </c>
      <c r="G19" s="84">
        <f>D19-E19</f>
        <v>12897.713825910934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91950.80460526317</v>
      </c>
      <c r="E20" s="83">
        <f>E18*I20</f>
        <v>85651.05421052632</v>
      </c>
      <c r="F20" s="83">
        <f>D20</f>
        <v>91950.80460526317</v>
      </c>
      <c r="G20" s="84">
        <f aca="true" t="shared" si="0" ref="G20:G32">D20-E20</f>
        <v>6299.750394736853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91950.80460526317</v>
      </c>
      <c r="E21" s="83">
        <f>E18*I21</f>
        <v>85651.05421052632</v>
      </c>
      <c r="F21" s="83">
        <f>D21</f>
        <v>91950.80460526317</v>
      </c>
      <c r="G21" s="84">
        <f t="shared" si="0"/>
        <v>6299.750394736853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165402.6307692308</v>
      </c>
      <c r="E22" s="83">
        <f>E18*I22</f>
        <v>154070.5353846154</v>
      </c>
      <c r="F22" s="83">
        <f>D22</f>
        <v>165402.6307692308</v>
      </c>
      <c r="G22" s="84">
        <f t="shared" si="0"/>
        <v>11332.095384615415</v>
      </c>
      <c r="H22" s="147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2" t="s">
        <v>26</v>
      </c>
      <c r="C23" s="97">
        <v>0</v>
      </c>
      <c r="D23" s="77">
        <v>0</v>
      </c>
      <c r="E23" s="77">
        <v>0</v>
      </c>
      <c r="F23" s="76">
        <f aca="true" t="shared" si="1" ref="F23:F32">D23</f>
        <v>0</v>
      </c>
      <c r="G23" s="77">
        <f t="shared" si="0"/>
        <v>0</v>
      </c>
    </row>
    <row r="24" spans="1:7" s="39" customFormat="1" ht="14.2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0"/>
        <v>0</v>
      </c>
    </row>
    <row r="25" spans="1:7" s="39" customFormat="1" ht="14.25">
      <c r="A25" s="41" t="s">
        <v>29</v>
      </c>
      <c r="B25" s="142" t="s">
        <v>168</v>
      </c>
      <c r="C25" s="143">
        <v>1902.11</v>
      </c>
      <c r="D25" s="77"/>
      <c r="E25" s="77"/>
      <c r="F25" s="76">
        <f t="shared" si="1"/>
        <v>0</v>
      </c>
      <c r="G25" s="77">
        <f t="shared" si="0"/>
        <v>0</v>
      </c>
    </row>
    <row r="26" spans="1:7" s="39" customFormat="1" ht="14.25">
      <c r="A26" s="41" t="s">
        <v>31</v>
      </c>
      <c r="B26" s="142" t="s">
        <v>119</v>
      </c>
      <c r="C26" s="97">
        <v>3</v>
      </c>
      <c r="D26" s="77">
        <v>128020.2</v>
      </c>
      <c r="E26" s="77">
        <v>122421.21</v>
      </c>
      <c r="F26" s="76">
        <f>F42</f>
        <v>74405.0721</v>
      </c>
      <c r="G26" s="77">
        <f t="shared" si="0"/>
        <v>5598.989999999991</v>
      </c>
    </row>
    <row r="27" spans="1:7" s="39" customFormat="1" ht="14.25">
      <c r="A27" s="41" t="s">
        <v>33</v>
      </c>
      <c r="B27" s="136" t="s">
        <v>34</v>
      </c>
      <c r="C27" s="46">
        <v>0</v>
      </c>
      <c r="D27" s="77">
        <v>0</v>
      </c>
      <c r="E27" s="77">
        <v>256.13</v>
      </c>
      <c r="F27" s="76">
        <f>D27</f>
        <v>0</v>
      </c>
      <c r="G27" s="77">
        <f t="shared" si="0"/>
        <v>-256.13</v>
      </c>
    </row>
    <row r="28" spans="1:7" s="39" customFormat="1" ht="14.25">
      <c r="A28" s="41" t="s">
        <v>35</v>
      </c>
      <c r="B28" s="136" t="s">
        <v>36</v>
      </c>
      <c r="C28" s="97"/>
      <c r="D28" s="77">
        <f>SUM(D29:D32)</f>
        <v>1579947.5699999998</v>
      </c>
      <c r="E28" s="77">
        <f>SUM(E29:E32)</f>
        <v>1490250.2</v>
      </c>
      <c r="F28" s="76">
        <f t="shared" si="1"/>
        <v>1579947.5699999998</v>
      </c>
      <c r="G28" s="77">
        <f t="shared" si="0"/>
        <v>89697.36999999988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32435.58</v>
      </c>
      <c r="E29" s="84">
        <v>30645.89</v>
      </c>
      <c r="F29" s="83">
        <f>D29</f>
        <v>32435.58</v>
      </c>
      <c r="G29" s="84">
        <f t="shared" si="0"/>
        <v>1789.6900000000023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552371.32</v>
      </c>
      <c r="E30" s="84">
        <v>521785.16</v>
      </c>
      <c r="F30" s="83">
        <f t="shared" si="1"/>
        <v>552371.32</v>
      </c>
      <c r="G30" s="84">
        <f t="shared" si="0"/>
        <v>30586.159999999974</v>
      </c>
    </row>
    <row r="31" spans="1:7" ht="15">
      <c r="A31" s="34" t="s">
        <v>42</v>
      </c>
      <c r="B31" s="34" t="s">
        <v>143</v>
      </c>
      <c r="C31" s="145">
        <v>0</v>
      </c>
      <c r="D31" s="84">
        <v>0</v>
      </c>
      <c r="E31" s="84">
        <v>0</v>
      </c>
      <c r="F31" s="83">
        <f t="shared" si="1"/>
        <v>0</v>
      </c>
      <c r="G31" s="84">
        <f t="shared" si="0"/>
        <v>0</v>
      </c>
    </row>
    <row r="32" spans="1:7" ht="15">
      <c r="A32" s="34" t="s">
        <v>41</v>
      </c>
      <c r="B32" s="34" t="s">
        <v>43</v>
      </c>
      <c r="C32" s="293" t="s">
        <v>380</v>
      </c>
      <c r="D32" s="84">
        <v>995140.67</v>
      </c>
      <c r="E32" s="84">
        <v>937819.15</v>
      </c>
      <c r="F32" s="83">
        <f t="shared" si="1"/>
        <v>995140.67</v>
      </c>
      <c r="G32" s="84">
        <f t="shared" si="0"/>
        <v>57321.52000000002</v>
      </c>
    </row>
    <row r="33" spans="1:10" s="102" customFormat="1" ht="15" customHeight="1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  <c r="J33" s="101"/>
    </row>
    <row r="34" spans="1:9" s="67" customFormat="1" ht="15.75" thickBot="1">
      <c r="A34" s="378" t="s">
        <v>383</v>
      </c>
      <c r="B34" s="379"/>
      <c r="C34" s="379"/>
      <c r="D34" s="65">
        <v>1209591.64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-695315.36</v>
      </c>
      <c r="H36" s="62"/>
      <c r="I36" s="62"/>
    </row>
    <row r="37" spans="1:13" s="67" customFormat="1" ht="15.75" thickBot="1">
      <c r="A37" s="63" t="s">
        <v>387</v>
      </c>
      <c r="B37" s="64"/>
      <c r="C37" s="64"/>
      <c r="D37" s="69"/>
      <c r="E37" s="70"/>
      <c r="F37" s="70"/>
      <c r="G37" s="146">
        <f>E26+G15-F26</f>
        <v>-562435.4028</v>
      </c>
      <c r="H37" s="62"/>
      <c r="I37" s="62"/>
      <c r="M37" s="147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5.5" customHeight="1">
      <c r="A39" s="367" t="s">
        <v>44</v>
      </c>
      <c r="B39" s="367"/>
      <c r="C39" s="367"/>
      <c r="D39" s="367"/>
      <c r="E39" s="367"/>
      <c r="F39" s="367"/>
      <c r="G39" s="367"/>
      <c r="H39" s="367"/>
      <c r="I39" s="367"/>
    </row>
    <row r="40" ht="8.25" customHeight="1"/>
    <row r="41" spans="1:7" s="173" customFormat="1" ht="28.5" customHeight="1">
      <c r="A41" s="105" t="s">
        <v>11</v>
      </c>
      <c r="B41" s="179" t="s">
        <v>45</v>
      </c>
      <c r="C41" s="180"/>
      <c r="D41" s="105" t="s">
        <v>170</v>
      </c>
      <c r="E41" s="105" t="s">
        <v>169</v>
      </c>
      <c r="F41" s="394" t="s">
        <v>46</v>
      </c>
      <c r="G41" s="404"/>
    </row>
    <row r="42" spans="1:7" s="115" customFormat="1" ht="13.5" customHeight="1">
      <c r="A42" s="109" t="s">
        <v>47</v>
      </c>
      <c r="B42" s="396" t="s">
        <v>114</v>
      </c>
      <c r="C42" s="399"/>
      <c r="D42" s="174"/>
      <c r="E42" s="174"/>
      <c r="F42" s="416">
        <f>SUM(F43:G48)</f>
        <v>74405.0721</v>
      </c>
      <c r="G42" s="417"/>
    </row>
    <row r="43" spans="1:7" ht="13.5" customHeight="1">
      <c r="A43" s="34" t="s">
        <v>16</v>
      </c>
      <c r="B43" s="413" t="s">
        <v>517</v>
      </c>
      <c r="C43" s="414"/>
      <c r="D43" s="153" t="s">
        <v>240</v>
      </c>
      <c r="E43" s="188">
        <v>0.01</v>
      </c>
      <c r="F43" s="412">
        <v>9469.83</v>
      </c>
      <c r="G43" s="412"/>
    </row>
    <row r="44" spans="1:7" ht="13.5" customHeight="1">
      <c r="A44" s="34" t="s">
        <v>18</v>
      </c>
      <c r="B44" s="347" t="s">
        <v>288</v>
      </c>
      <c r="C44" s="348"/>
      <c r="D44" s="153" t="s">
        <v>241</v>
      </c>
      <c r="E44" s="188">
        <v>0.12</v>
      </c>
      <c r="F44" s="412">
        <v>11304.94</v>
      </c>
      <c r="G44" s="412"/>
    </row>
    <row r="45" spans="1:7" ht="25.5" customHeight="1">
      <c r="A45" s="34" t="s">
        <v>20</v>
      </c>
      <c r="B45" s="347" t="s">
        <v>506</v>
      </c>
      <c r="C45" s="348"/>
      <c r="D45" s="153" t="s">
        <v>248</v>
      </c>
      <c r="E45" s="188">
        <v>1</v>
      </c>
      <c r="F45" s="412">
        <v>30410</v>
      </c>
      <c r="G45" s="412"/>
    </row>
    <row r="46" spans="1:7" ht="13.5" customHeight="1">
      <c r="A46" s="34" t="s">
        <v>22</v>
      </c>
      <c r="B46" s="369" t="s">
        <v>175</v>
      </c>
      <c r="C46" s="415"/>
      <c r="D46" s="153" t="s">
        <v>240</v>
      </c>
      <c r="E46" s="154">
        <v>0.1</v>
      </c>
      <c r="F46" s="398">
        <v>5996.09</v>
      </c>
      <c r="G46" s="398"/>
    </row>
    <row r="47" spans="1:7" ht="13.5" customHeight="1">
      <c r="A47" s="34" t="s">
        <v>24</v>
      </c>
      <c r="B47" s="369" t="s">
        <v>796</v>
      </c>
      <c r="C47" s="415"/>
      <c r="D47" s="153"/>
      <c r="E47" s="154"/>
      <c r="F47" s="398">
        <v>16000</v>
      </c>
      <c r="G47" s="398"/>
    </row>
    <row r="48" spans="1:7" ht="13.5" customHeight="1">
      <c r="A48" s="34" t="s">
        <v>106</v>
      </c>
      <c r="B48" s="413" t="s">
        <v>198</v>
      </c>
      <c r="C48" s="414"/>
      <c r="D48" s="153"/>
      <c r="E48" s="188"/>
      <c r="F48" s="412">
        <f>E26*1%</f>
        <v>1224.2121000000002</v>
      </c>
      <c r="G48" s="412"/>
    </row>
    <row r="49" spans="1:7" s="67" customFormat="1" ht="15">
      <c r="A49" s="170"/>
      <c r="B49" s="189"/>
      <c r="C49" s="189"/>
      <c r="D49" s="190"/>
      <c r="E49" s="191"/>
      <c r="F49" s="192"/>
      <c r="G49" s="192"/>
    </row>
    <row r="50" spans="1:6" s="67" customFormat="1" ht="15">
      <c r="A50" s="67" t="s">
        <v>55</v>
      </c>
      <c r="C50" s="67" t="s">
        <v>49</v>
      </c>
      <c r="F50" s="67" t="s">
        <v>93</v>
      </c>
    </row>
    <row r="51" s="67" customFormat="1" ht="13.5" customHeight="1">
      <c r="F51" s="128" t="s">
        <v>516</v>
      </c>
    </row>
    <row r="52" s="67" customFormat="1" ht="15">
      <c r="A52" s="67" t="s">
        <v>50</v>
      </c>
    </row>
    <row r="53" spans="3:7" s="67" customFormat="1" ht="15">
      <c r="C53" s="130" t="s">
        <v>51</v>
      </c>
      <c r="E53" s="130"/>
      <c r="F53" s="130"/>
      <c r="G53" s="130"/>
    </row>
    <row r="54" s="67" customFormat="1" ht="15"/>
    <row r="55" s="67" customFormat="1" ht="15"/>
  </sheetData>
  <sheetProtection/>
  <mergeCells count="23">
    <mergeCell ref="A12:I12"/>
    <mergeCell ref="A33:F33"/>
    <mergeCell ref="B47:C47"/>
    <mergeCell ref="F47:G47"/>
    <mergeCell ref="F46:G46"/>
    <mergeCell ref="F42:G42"/>
    <mergeCell ref="F43:G43"/>
    <mergeCell ref="F44:G44"/>
    <mergeCell ref="F45:G45"/>
    <mergeCell ref="A1:I1"/>
    <mergeCell ref="A2:I2"/>
    <mergeCell ref="A5:I5"/>
    <mergeCell ref="A10:I10"/>
    <mergeCell ref="A3:K3"/>
    <mergeCell ref="A11:I11"/>
    <mergeCell ref="F48:G48"/>
    <mergeCell ref="B42:C42"/>
    <mergeCell ref="B48:C48"/>
    <mergeCell ref="B46:C46"/>
    <mergeCell ref="B43:C43"/>
    <mergeCell ref="A34:C34"/>
    <mergeCell ref="A39:I39"/>
    <mergeCell ref="F41:G41"/>
  </mergeCells>
  <printOptions/>
  <pageMargins left="0.5905511811023623" right="0" top="0.5905511811023623" bottom="0.5905511811023623" header="0.31496062992125984" footer="0.31496062992125984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7030A0"/>
  </sheetPr>
  <dimension ref="A1:P46"/>
  <sheetViews>
    <sheetView zoomScalePageLayoutView="0" workbookViewId="0" topLeftCell="A26">
      <selection activeCell="G34" sqref="G34"/>
    </sheetView>
  </sheetViews>
  <sheetFormatPr defaultColWidth="9.140625" defaultRowHeight="15" outlineLevelCol="1"/>
  <cols>
    <col min="1" max="1" width="5.421875" style="57" customWidth="1"/>
    <col min="2" max="2" width="48.57421875" style="57" customWidth="1"/>
    <col min="3" max="3" width="15.421875" style="57" customWidth="1"/>
    <col min="4" max="4" width="14.8515625" style="57" customWidth="1"/>
    <col min="5" max="5" width="13.57421875" style="57" customWidth="1"/>
    <col min="6" max="6" width="13.00390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10.7109375" style="57" bestFit="1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2" s="59" customFormat="1" ht="16.5" customHeight="1">
      <c r="A7" s="59" t="s">
        <v>2</v>
      </c>
      <c r="F7" s="60" t="s">
        <v>218</v>
      </c>
      <c r="H7" s="60"/>
      <c r="L7" s="61"/>
    </row>
    <row r="8" spans="1:8" s="59" customFormat="1" ht="12.75">
      <c r="A8" s="59" t="s">
        <v>3</v>
      </c>
      <c r="F8" s="310" t="s">
        <v>307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260"/>
      <c r="B12" s="260"/>
      <c r="C12" s="260"/>
      <c r="D12" s="40"/>
      <c r="E12" s="66"/>
      <c r="F12" s="66"/>
      <c r="G12" s="66"/>
      <c r="H12" s="62"/>
      <c r="I12" s="62"/>
    </row>
    <row r="13" spans="1:9" s="67" customFormat="1" ht="15.75" thickBot="1">
      <c r="A13" s="261" t="s">
        <v>313</v>
      </c>
      <c r="B13" s="262"/>
      <c r="C13" s="262"/>
      <c r="D13" s="263"/>
      <c r="E13" s="70"/>
      <c r="F13" s="70"/>
      <c r="G13" s="65">
        <f>'[1]Нефтебаза 2'!$G$35</f>
        <v>-74613.11059999999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59" customFormat="1" ht="14.25">
      <c r="A16" s="75" t="s">
        <v>14</v>
      </c>
      <c r="B16" s="41" t="s">
        <v>15</v>
      </c>
      <c r="C16" s="137">
        <f>C17+C18+C19+C20</f>
        <v>9.879999999999999</v>
      </c>
      <c r="D16" s="76">
        <v>86887.84</v>
      </c>
      <c r="E16" s="76">
        <v>62271.21</v>
      </c>
      <c r="F16" s="76">
        <f aca="true" t="shared" si="0" ref="F16:F22">D16</f>
        <v>86887.84</v>
      </c>
      <c r="G16" s="77">
        <f>D16-E16</f>
        <v>24616.629999999997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30428.33263157895</v>
      </c>
      <c r="E17" s="83">
        <f>E16*I17</f>
        <v>21807.529008097168</v>
      </c>
      <c r="F17" s="83">
        <f t="shared" si="0"/>
        <v>30428.33263157895</v>
      </c>
      <c r="G17" s="84">
        <f>D17-E17</f>
        <v>8620.803623481781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14862.393684210527</v>
      </c>
      <c r="E18" s="83">
        <f>E16*I18</f>
        <v>10651.654342105263</v>
      </c>
      <c r="F18" s="83">
        <f t="shared" si="0"/>
        <v>14862.393684210527</v>
      </c>
      <c r="G18" s="84">
        <f>D18-E18</f>
        <v>4210.739342105264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14862.393684210527</v>
      </c>
      <c r="E19" s="83">
        <f>E16*I19</f>
        <v>10651.654342105263</v>
      </c>
      <c r="F19" s="83">
        <f t="shared" si="0"/>
        <v>14862.393684210527</v>
      </c>
      <c r="G19" s="84">
        <f>D19-E19</f>
        <v>4210.739342105264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26734.72</v>
      </c>
      <c r="E20" s="83">
        <f>E16*I20</f>
        <v>19160.37230769231</v>
      </c>
      <c r="F20" s="83">
        <f t="shared" si="0"/>
        <v>26734.72</v>
      </c>
      <c r="G20" s="84">
        <f>D20-E20</f>
        <v>7574.347692307692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212</v>
      </c>
      <c r="C21" s="97">
        <v>0</v>
      </c>
      <c r="D21" s="87">
        <v>0</v>
      </c>
      <c r="E21" s="87">
        <v>16115.64</v>
      </c>
      <c r="F21" s="87">
        <f t="shared" si="0"/>
        <v>0</v>
      </c>
      <c r="G21" s="77">
        <f aca="true" t="shared" si="1" ref="G21:G30">D21-E21</f>
        <v>-16115.64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4" s="89" customFormat="1" ht="14.25">
      <c r="A24" s="86" t="s">
        <v>31</v>
      </c>
      <c r="B24" s="86" t="s">
        <v>119</v>
      </c>
      <c r="C24" s="87">
        <v>3</v>
      </c>
      <c r="D24" s="87">
        <v>22313.16</v>
      </c>
      <c r="E24" s="87">
        <v>19175.88</v>
      </c>
      <c r="F24" s="87">
        <f>F39-F21</f>
        <v>191.7588</v>
      </c>
      <c r="G24" s="77">
        <f t="shared" si="1"/>
        <v>3137.279999999999</v>
      </c>
      <c r="H24" s="88"/>
      <c r="I24" s="88"/>
      <c r="J24" s="88"/>
      <c r="K24" s="88"/>
      <c r="N24" s="264"/>
    </row>
    <row r="25" spans="1:11" ht="14.25">
      <c r="A25" s="41" t="s">
        <v>33</v>
      </c>
      <c r="B25" s="41" t="s">
        <v>168</v>
      </c>
      <c r="C25" s="77" t="s">
        <v>395</v>
      </c>
      <c r="D25" s="77"/>
      <c r="E25" s="77"/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85157.43</v>
      </c>
      <c r="E26" s="77">
        <f>SUM(E27:E30)</f>
        <v>68843.79</v>
      </c>
      <c r="F26" s="77">
        <f>SUM(F27:F30)</f>
        <v>85157.43</v>
      </c>
      <c r="G26" s="77">
        <f t="shared" si="1"/>
        <v>16313.64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0</v>
      </c>
      <c r="E27" s="84">
        <v>0</v>
      </c>
      <c r="F27" s="84">
        <f>D27</f>
        <v>0</v>
      </c>
      <c r="G27" s="84">
        <f t="shared" si="1"/>
        <v>0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85157.43</v>
      </c>
      <c r="E28" s="84">
        <v>68843.79</v>
      </c>
      <c r="F28" s="84">
        <f>D28</f>
        <v>85157.43</v>
      </c>
      <c r="G28" s="84">
        <f t="shared" si="1"/>
        <v>16313.64</v>
      </c>
    </row>
    <row r="29" spans="1:7" ht="15">
      <c r="A29" s="34" t="s">
        <v>42</v>
      </c>
      <c r="B29" s="34" t="s">
        <v>143</v>
      </c>
      <c r="C29" s="145">
        <v>0</v>
      </c>
      <c r="D29" s="84">
        <v>0</v>
      </c>
      <c r="E29" s="84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99"/>
      <c r="D30" s="84">
        <v>0</v>
      </c>
      <c r="E30" s="84">
        <v>0</v>
      </c>
      <c r="F30" s="84">
        <f>D30</f>
        <v>0</v>
      </c>
      <c r="G30" s="84">
        <f t="shared" si="1"/>
        <v>0</v>
      </c>
    </row>
    <row r="31" spans="1:9" s="102" customFormat="1" ht="18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207589.64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4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G13+E21+E24-F21-F24</f>
        <v>-39513.349399999985</v>
      </c>
      <c r="H34" s="62"/>
      <c r="I34" s="62"/>
      <c r="N34" s="147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9.25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101"/>
      <c r="M36" s="101"/>
    </row>
    <row r="38" spans="1:11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J38" s="74"/>
      <c r="K38" s="74"/>
    </row>
    <row r="39" spans="1:14" s="74" customFormat="1" ht="15">
      <c r="A39" s="109" t="s">
        <v>47</v>
      </c>
      <c r="B39" s="396" t="s">
        <v>114</v>
      </c>
      <c r="C39" s="399"/>
      <c r="D39" s="111"/>
      <c r="E39" s="111"/>
      <c r="F39" s="411">
        <f>SUM(F40:G41)</f>
        <v>191.7588</v>
      </c>
      <c r="G39" s="404"/>
      <c r="H39" s="253"/>
      <c r="I39" s="254"/>
      <c r="J39" s="115"/>
      <c r="K39" s="115"/>
      <c r="N39" s="108"/>
    </row>
    <row r="40" spans="1:14" s="115" customFormat="1" ht="16.5" customHeight="1">
      <c r="A40" s="34" t="s">
        <v>16</v>
      </c>
      <c r="B40" s="369"/>
      <c r="C40" s="371"/>
      <c r="D40" s="119"/>
      <c r="E40" s="119"/>
      <c r="F40" s="420"/>
      <c r="G40" s="421"/>
      <c r="H40" s="255"/>
      <c r="I40" s="256"/>
      <c r="J40" s="57"/>
      <c r="K40" s="57"/>
      <c r="N40" s="116"/>
    </row>
    <row r="41" spans="1:14" ht="15.75" customHeight="1">
      <c r="A41" s="259" t="s">
        <v>18</v>
      </c>
      <c r="B41" s="408" t="s">
        <v>198</v>
      </c>
      <c r="C41" s="409"/>
      <c r="D41" s="125"/>
      <c r="E41" s="125"/>
      <c r="F41" s="410">
        <f>E24*1%</f>
        <v>191.7588</v>
      </c>
      <c r="G41" s="410"/>
      <c r="H41" s="59"/>
      <c r="I41" s="59"/>
      <c r="J41" s="59"/>
      <c r="K41" s="59"/>
      <c r="N41" s="120"/>
    </row>
    <row r="42" spans="1:11" ht="7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s="59" customFormat="1" ht="15">
      <c r="A43" s="67" t="s">
        <v>55</v>
      </c>
      <c r="B43" s="67"/>
      <c r="C43" s="127" t="s">
        <v>49</v>
      </c>
      <c r="D43" s="67"/>
      <c r="E43" s="67"/>
      <c r="F43" s="67" t="s">
        <v>93</v>
      </c>
      <c r="G43" s="67"/>
      <c r="H43" s="67"/>
      <c r="I43" s="67"/>
      <c r="J43" s="67"/>
      <c r="K43" s="67"/>
    </row>
    <row r="44" spans="1:7" s="59" customFormat="1" ht="15">
      <c r="A44" s="67"/>
      <c r="B44" s="67"/>
      <c r="C44" s="127"/>
      <c r="D44" s="67"/>
      <c r="E44" s="67"/>
      <c r="F44" s="128" t="s">
        <v>516</v>
      </c>
      <c r="G44" s="67"/>
    </row>
    <row r="45" spans="1:11" s="67" customFormat="1" ht="15">
      <c r="A45" s="67" t="s">
        <v>50</v>
      </c>
      <c r="C45" s="127"/>
      <c r="H45" s="158"/>
      <c r="I45" s="158"/>
      <c r="J45" s="158"/>
      <c r="K45" s="59"/>
    </row>
    <row r="46" spans="1:7" s="59" customFormat="1" ht="15">
      <c r="A46" s="67"/>
      <c r="B46" s="67"/>
      <c r="C46" s="129" t="s">
        <v>51</v>
      </c>
      <c r="D46" s="67"/>
      <c r="E46" s="130"/>
      <c r="F46" s="130"/>
      <c r="G46" s="130"/>
    </row>
    <row r="47" s="59" customFormat="1" ht="12.75"/>
    <row r="48" s="59" customFormat="1" ht="12.75"/>
  </sheetData>
  <sheetProtection/>
  <mergeCells count="18">
    <mergeCell ref="A31:F31"/>
    <mergeCell ref="A11:K11"/>
    <mergeCell ref="A1:K1"/>
    <mergeCell ref="A2:K2"/>
    <mergeCell ref="A3:K3"/>
    <mergeCell ref="A5:K5"/>
    <mergeCell ref="A9:K9"/>
    <mergeCell ref="A10:K10"/>
    <mergeCell ref="B40:C40"/>
    <mergeCell ref="F40:G40"/>
    <mergeCell ref="B41:C41"/>
    <mergeCell ref="F41:G41"/>
    <mergeCell ref="A32:C32"/>
    <mergeCell ref="A36:K36"/>
    <mergeCell ref="B38:C38"/>
    <mergeCell ref="F38:G38"/>
    <mergeCell ref="B39:C39"/>
    <mergeCell ref="F39:G39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7030A0"/>
  </sheetPr>
  <dimension ref="A1:P50"/>
  <sheetViews>
    <sheetView zoomScalePageLayoutView="0" workbookViewId="0" topLeftCell="A34">
      <selection activeCell="G34" sqref="G34"/>
    </sheetView>
  </sheetViews>
  <sheetFormatPr defaultColWidth="9.140625" defaultRowHeight="15" outlineLevelCol="1"/>
  <cols>
    <col min="1" max="1" width="5.421875" style="57" customWidth="1"/>
    <col min="2" max="2" width="48.57421875" style="57" customWidth="1"/>
    <col min="3" max="3" width="15.421875" style="57" customWidth="1"/>
    <col min="4" max="4" width="14.8515625" style="57" customWidth="1"/>
    <col min="5" max="5" width="13.57421875" style="57" customWidth="1"/>
    <col min="6" max="6" width="13.00390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10.00390625" style="57" bestFit="1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2" s="59" customFormat="1" ht="16.5" customHeight="1">
      <c r="A7" s="59" t="s">
        <v>2</v>
      </c>
      <c r="F7" s="60" t="s">
        <v>160</v>
      </c>
      <c r="H7" s="60"/>
      <c r="L7" s="61"/>
    </row>
    <row r="8" spans="1:8" s="59" customFormat="1" ht="12.75">
      <c r="A8" s="59" t="s">
        <v>3</v>
      </c>
      <c r="F8" s="310" t="s">
        <v>161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'[1]Нефтебаза 3'!$G$35</f>
        <v>351267.50940000004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59" customFormat="1" ht="14.25">
      <c r="A16" s="75" t="s">
        <v>14</v>
      </c>
      <c r="B16" s="41" t="s">
        <v>15</v>
      </c>
      <c r="C16" s="137">
        <f>C17+C18+C19+C20</f>
        <v>9.879999999999999</v>
      </c>
      <c r="D16" s="76">
        <v>224012.11</v>
      </c>
      <c r="E16" s="76">
        <v>222689.3</v>
      </c>
      <c r="F16" s="76">
        <f>D16</f>
        <v>224012.11</v>
      </c>
      <c r="G16" s="77">
        <f>D16-E16</f>
        <v>1322.8099999999977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78449.58508097166</v>
      </c>
      <c r="E17" s="83">
        <f>E16*I17</f>
        <v>77986.33380566802</v>
      </c>
      <c r="F17" s="83">
        <f>D17</f>
        <v>78449.58508097166</v>
      </c>
      <c r="G17" s="84">
        <f>D17-E17</f>
        <v>463.2512753036426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38317.860921052634</v>
      </c>
      <c r="E18" s="83">
        <f>E16*I18</f>
        <v>38091.59078947368</v>
      </c>
      <c r="F18" s="83">
        <f>D18</f>
        <v>38317.860921052634</v>
      </c>
      <c r="G18" s="84">
        <f>D18-E18</f>
        <v>226.27013157895271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38317.860921052634</v>
      </c>
      <c r="E19" s="83">
        <f>E16*I19</f>
        <v>38091.59078947368</v>
      </c>
      <c r="F19" s="83">
        <f>D19</f>
        <v>38317.860921052634</v>
      </c>
      <c r="G19" s="84">
        <f>D19-E19</f>
        <v>226.27013157895271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68926.80307692308</v>
      </c>
      <c r="E20" s="83">
        <f>E16*I20</f>
        <v>68519.78461538462</v>
      </c>
      <c r="F20" s="83">
        <f>D20</f>
        <v>68926.80307692308</v>
      </c>
      <c r="G20" s="84">
        <f>D20-E20</f>
        <v>407.0184615384642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/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87">
        <v>10</v>
      </c>
      <c r="D24" s="87">
        <v>214560</v>
      </c>
      <c r="E24" s="87">
        <v>224594.1</v>
      </c>
      <c r="F24" s="87">
        <f>F39</f>
        <v>254863.381</v>
      </c>
      <c r="G24" s="77">
        <f t="shared" si="0"/>
        <v>-10034.100000000006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77" t="s">
        <v>395</v>
      </c>
      <c r="D25" s="77"/>
      <c r="E25" s="77"/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966309.62</v>
      </c>
      <c r="E26" s="77">
        <f>SUM(E27:E30)</f>
        <v>1018294.48</v>
      </c>
      <c r="F26" s="77">
        <f>SUM(F27:F30)</f>
        <v>966309.62</v>
      </c>
      <c r="G26" s="77">
        <f t="shared" si="0"/>
        <v>-51984.859999999986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16231.92</v>
      </c>
      <c r="E27" s="84">
        <v>17263.67</v>
      </c>
      <c r="F27" s="84">
        <f>D27</f>
        <v>16231.92</v>
      </c>
      <c r="G27" s="84">
        <f t="shared" si="0"/>
        <v>-1031.7499999999982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259089.71</v>
      </c>
      <c r="E28" s="84">
        <v>281648.69</v>
      </c>
      <c r="F28" s="84">
        <f>D28</f>
        <v>259089.71</v>
      </c>
      <c r="G28" s="84">
        <f t="shared" si="0"/>
        <v>-22558.98000000001</v>
      </c>
    </row>
    <row r="29" spans="1:7" ht="15">
      <c r="A29" s="34" t="s">
        <v>42</v>
      </c>
      <c r="B29" s="34" t="s">
        <v>143</v>
      </c>
      <c r="C29" s="145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690987.99</v>
      </c>
      <c r="E30" s="84">
        <v>719382.12</v>
      </c>
      <c r="F30" s="84">
        <f>D30</f>
        <v>690987.99</v>
      </c>
      <c r="G30" s="84">
        <f t="shared" si="0"/>
        <v>-28394.130000000005</v>
      </c>
    </row>
    <row r="31" spans="1:9" s="102" customFormat="1" ht="20.2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339711.37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4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320998.2284000001</v>
      </c>
      <c r="H34" s="62"/>
      <c r="I34" s="62"/>
      <c r="N34" s="147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9.25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101"/>
      <c r="M36" s="101"/>
    </row>
    <row r="38" spans="1:11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J38" s="74"/>
      <c r="K38" s="74"/>
    </row>
    <row r="39" spans="1:14" s="74" customFormat="1" ht="15">
      <c r="A39" s="109" t="s">
        <v>47</v>
      </c>
      <c r="B39" s="396" t="s">
        <v>114</v>
      </c>
      <c r="C39" s="399"/>
      <c r="D39" s="111"/>
      <c r="E39" s="111"/>
      <c r="F39" s="411">
        <f>SUM(F40:G45)</f>
        <v>254863.381</v>
      </c>
      <c r="G39" s="404"/>
      <c r="H39" s="253"/>
      <c r="I39" s="254"/>
      <c r="J39" s="115"/>
      <c r="K39" s="115"/>
      <c r="N39" s="108"/>
    </row>
    <row r="40" spans="1:14" s="115" customFormat="1" ht="15" customHeight="1">
      <c r="A40" s="34" t="s">
        <v>16</v>
      </c>
      <c r="B40" s="369" t="s">
        <v>646</v>
      </c>
      <c r="C40" s="371"/>
      <c r="D40" s="119" t="s">
        <v>240</v>
      </c>
      <c r="E40" s="119">
        <v>0.01</v>
      </c>
      <c r="F40" s="420">
        <v>1057.89</v>
      </c>
      <c r="G40" s="421"/>
      <c r="H40" s="255"/>
      <c r="I40" s="256"/>
      <c r="J40" s="57"/>
      <c r="K40" s="57"/>
      <c r="N40" s="116"/>
    </row>
    <row r="41" spans="1:14" s="115" customFormat="1" ht="15" customHeight="1">
      <c r="A41" s="34" t="s">
        <v>18</v>
      </c>
      <c r="B41" s="369" t="s">
        <v>646</v>
      </c>
      <c r="C41" s="371"/>
      <c r="D41" s="119" t="s">
        <v>240</v>
      </c>
      <c r="E41" s="119">
        <v>0.1</v>
      </c>
      <c r="F41" s="420">
        <v>17967.1</v>
      </c>
      <c r="G41" s="421"/>
      <c r="H41" s="40"/>
      <c r="I41" s="40"/>
      <c r="J41" s="57"/>
      <c r="K41" s="57"/>
      <c r="N41" s="116"/>
    </row>
    <row r="42" spans="1:14" s="115" customFormat="1" ht="15" customHeight="1">
      <c r="A42" s="34" t="s">
        <v>20</v>
      </c>
      <c r="B42" s="369" t="s">
        <v>790</v>
      </c>
      <c r="C42" s="371"/>
      <c r="D42" s="119"/>
      <c r="E42" s="203"/>
      <c r="F42" s="420">
        <v>2080</v>
      </c>
      <c r="G42" s="421"/>
      <c r="H42" s="40"/>
      <c r="I42" s="40"/>
      <c r="J42" s="57"/>
      <c r="K42" s="57"/>
      <c r="N42" s="116"/>
    </row>
    <row r="43" spans="1:14" s="115" customFormat="1" ht="15" customHeight="1">
      <c r="A43" s="34" t="s">
        <v>22</v>
      </c>
      <c r="B43" s="369" t="s">
        <v>843</v>
      </c>
      <c r="C43" s="415"/>
      <c r="D43" s="119"/>
      <c r="E43" s="154"/>
      <c r="F43" s="410">
        <v>221512.45</v>
      </c>
      <c r="G43" s="410"/>
      <c r="H43" s="40"/>
      <c r="I43" s="40"/>
      <c r="J43" s="57"/>
      <c r="K43" s="57"/>
      <c r="N43" s="116"/>
    </row>
    <row r="44" spans="1:14" s="115" customFormat="1" ht="15" customHeight="1">
      <c r="A44" s="34" t="s">
        <v>24</v>
      </c>
      <c r="B44" s="117" t="s">
        <v>840</v>
      </c>
      <c r="C44" s="360"/>
      <c r="D44" s="119"/>
      <c r="E44" s="154"/>
      <c r="F44" s="410">
        <v>10000</v>
      </c>
      <c r="G44" s="410"/>
      <c r="H44" s="40"/>
      <c r="I44" s="40"/>
      <c r="J44" s="57"/>
      <c r="K44" s="57"/>
      <c r="N44" s="116"/>
    </row>
    <row r="45" spans="1:14" ht="15.75" customHeight="1">
      <c r="A45" s="34" t="s">
        <v>106</v>
      </c>
      <c r="B45" s="408" t="s">
        <v>198</v>
      </c>
      <c r="C45" s="409"/>
      <c r="D45" s="125"/>
      <c r="E45" s="125"/>
      <c r="F45" s="410">
        <f>E24*1%</f>
        <v>2245.9410000000003</v>
      </c>
      <c r="G45" s="410"/>
      <c r="H45" s="59"/>
      <c r="I45" s="59"/>
      <c r="J45" s="59"/>
      <c r="K45" s="59"/>
      <c r="N45" s="120"/>
    </row>
    <row r="46" spans="1:11" ht="7.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</row>
    <row r="47" spans="1:11" s="59" customFormat="1" ht="15">
      <c r="A47" s="67" t="s">
        <v>55</v>
      </c>
      <c r="B47" s="67"/>
      <c r="C47" s="127" t="s">
        <v>49</v>
      </c>
      <c r="D47" s="67"/>
      <c r="E47" s="67"/>
      <c r="F47" s="67" t="s">
        <v>93</v>
      </c>
      <c r="G47" s="67"/>
      <c r="H47" s="67"/>
      <c r="I47" s="67"/>
      <c r="J47" s="67"/>
      <c r="K47" s="67"/>
    </row>
    <row r="48" spans="1:7" s="59" customFormat="1" ht="15">
      <c r="A48" s="67"/>
      <c r="B48" s="67"/>
      <c r="C48" s="127"/>
      <c r="D48" s="67"/>
      <c r="E48" s="67"/>
      <c r="F48" s="128" t="s">
        <v>516</v>
      </c>
      <c r="G48" s="67"/>
    </row>
    <row r="49" spans="1:11" s="67" customFormat="1" ht="15">
      <c r="A49" s="67" t="s">
        <v>50</v>
      </c>
      <c r="C49" s="127"/>
      <c r="H49" s="158"/>
      <c r="I49" s="158"/>
      <c r="J49" s="158"/>
      <c r="K49" s="59"/>
    </row>
    <row r="50" spans="1:7" s="59" customFormat="1" ht="15">
      <c r="A50" s="67"/>
      <c r="B50" s="67"/>
      <c r="C50" s="129" t="s">
        <v>51</v>
      </c>
      <c r="D50" s="67"/>
      <c r="E50" s="130"/>
      <c r="F50" s="130"/>
      <c r="G50" s="130"/>
    </row>
    <row r="51" s="59" customFormat="1" ht="12.75"/>
    <row r="52" s="59" customFormat="1" ht="12.75"/>
  </sheetData>
  <sheetProtection/>
  <mergeCells count="25">
    <mergeCell ref="B45:C45"/>
    <mergeCell ref="F45:G45"/>
    <mergeCell ref="B41:C41"/>
    <mergeCell ref="F41:G41"/>
    <mergeCell ref="B42:C42"/>
    <mergeCell ref="F42:G42"/>
    <mergeCell ref="B43:C43"/>
    <mergeCell ref="F43:G43"/>
    <mergeCell ref="F44:G44"/>
    <mergeCell ref="A32:C32"/>
    <mergeCell ref="A36:K36"/>
    <mergeCell ref="B38:C38"/>
    <mergeCell ref="F38:G38"/>
    <mergeCell ref="B40:C40"/>
    <mergeCell ref="F40:G40"/>
    <mergeCell ref="B39:C39"/>
    <mergeCell ref="F39:G39"/>
    <mergeCell ref="A31:F31"/>
    <mergeCell ref="A11:K11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7030A0"/>
  </sheetPr>
  <dimension ref="A1:N46"/>
  <sheetViews>
    <sheetView zoomScalePageLayoutView="0" workbookViewId="0" topLeftCell="A30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232</v>
      </c>
      <c r="H7" s="60"/>
    </row>
    <row r="8" spans="1:8" s="59" customFormat="1" ht="12.75">
      <c r="A8" s="59" t="s">
        <v>3</v>
      </c>
      <c r="F8" s="310" t="s">
        <v>444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'[1]Нефтебаза 4'!$G$35</f>
        <v>69097.9237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319509.05</v>
      </c>
      <c r="E16" s="76">
        <v>297065.07</v>
      </c>
      <c r="F16" s="76">
        <f aca="true" t="shared" si="0" ref="F16:F23">D16</f>
        <v>319509.05</v>
      </c>
      <c r="G16" s="77">
        <f>D16-E16</f>
        <v>22443.97999999998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111892.84544534414</v>
      </c>
      <c r="E17" s="83">
        <f>E16*I17</f>
        <v>104032.90912955467</v>
      </c>
      <c r="F17" s="83">
        <f t="shared" si="0"/>
        <v>111892.84544534414</v>
      </c>
      <c r="G17" s="84">
        <f>D17-E17</f>
        <v>7859.9363157894695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54652.863815789475</v>
      </c>
      <c r="E18" s="83">
        <f>E16*I18</f>
        <v>50813.76197368421</v>
      </c>
      <c r="F18" s="83">
        <f t="shared" si="0"/>
        <v>54652.863815789475</v>
      </c>
      <c r="G18" s="84">
        <f>D18-E18</f>
        <v>3839.101842105265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54652.863815789475</v>
      </c>
      <c r="E19" s="83">
        <f>E16*I19</f>
        <v>50813.76197368421</v>
      </c>
      <c r="F19" s="83">
        <f t="shared" si="0"/>
        <v>54652.863815789475</v>
      </c>
      <c r="G19" s="84">
        <f>D19-E19</f>
        <v>3839.101842105265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98310.47692307693</v>
      </c>
      <c r="E20" s="83">
        <f>E16*I20</f>
        <v>91404.63692307693</v>
      </c>
      <c r="F20" s="83">
        <f t="shared" si="0"/>
        <v>98310.47692307693</v>
      </c>
      <c r="G20" s="84">
        <f>D20-E20</f>
        <v>6905.8399999999965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230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212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1.86</v>
      </c>
      <c r="D24" s="87">
        <v>57573.9</v>
      </c>
      <c r="E24" s="87">
        <v>55996.27</v>
      </c>
      <c r="F24" s="87">
        <f>F38</f>
        <v>10559.9627</v>
      </c>
      <c r="G24" s="77">
        <f t="shared" si="1"/>
        <v>1577.6300000000047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>
        <v>1902.11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1000841.4199999999</v>
      </c>
      <c r="E26" s="77">
        <f>SUM(E27:E30)</f>
        <v>1005230.62</v>
      </c>
      <c r="F26" s="77">
        <f>SUM(F27:F30)</f>
        <v>1000841.4199999999</v>
      </c>
      <c r="G26" s="77">
        <f t="shared" si="1"/>
        <v>-4389.20000000007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22101.2</v>
      </c>
      <c r="E27" s="84">
        <v>21397.64</v>
      </c>
      <c r="F27" s="84">
        <f>D27</f>
        <v>22101.2</v>
      </c>
      <c r="G27" s="84">
        <f t="shared" si="1"/>
        <v>703.5600000000013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393924.73</v>
      </c>
      <c r="E28" s="84">
        <v>387875.9</v>
      </c>
      <c r="F28" s="84">
        <f>D28</f>
        <v>393924.73</v>
      </c>
      <c r="G28" s="84">
        <f t="shared" si="1"/>
        <v>6048.829999999958</v>
      </c>
    </row>
    <row r="29" spans="1:7" ht="15">
      <c r="A29" s="34" t="s">
        <v>42</v>
      </c>
      <c r="B29" s="34" t="s">
        <v>143</v>
      </c>
      <c r="C29" s="145">
        <v>0</v>
      </c>
      <c r="D29" s="216">
        <v>0</v>
      </c>
      <c r="E29" s="216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584815.49</v>
      </c>
      <c r="E30" s="84">
        <v>595957.08</v>
      </c>
      <c r="F30" s="84">
        <f>D30</f>
        <v>584815.49</v>
      </c>
      <c r="G30" s="84">
        <f t="shared" si="1"/>
        <v>-11141.589999999967</v>
      </c>
    </row>
    <row r="31" spans="1:9" s="102" customFormat="1" ht="21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191772.19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114534.231</v>
      </c>
      <c r="H34" s="62"/>
      <c r="I34" s="62"/>
    </row>
    <row r="35" spans="1:11" ht="31.5" customHeight="1">
      <c r="A35" s="509" t="s">
        <v>189</v>
      </c>
      <c r="B35" s="510"/>
      <c r="C35" s="510"/>
      <c r="D35" s="510"/>
      <c r="E35" s="510"/>
      <c r="F35" s="510"/>
      <c r="G35" s="510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2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SUM(F39:G40)</f>
        <v>10559.9627</v>
      </c>
      <c r="G38" s="404"/>
      <c r="H38" s="253"/>
      <c r="I38" s="254"/>
      <c r="L38" s="116"/>
    </row>
    <row r="39" spans="1:12" ht="15">
      <c r="A39" s="34" t="s">
        <v>16</v>
      </c>
      <c r="B39" s="369" t="s">
        <v>840</v>
      </c>
      <c r="C39" s="415"/>
      <c r="D39" s="119"/>
      <c r="E39" s="154"/>
      <c r="F39" s="410">
        <v>10000</v>
      </c>
      <c r="G39" s="410"/>
      <c r="H39" s="255"/>
      <c r="I39" s="256"/>
      <c r="L39" s="120"/>
    </row>
    <row r="40" spans="1:11" s="67" customFormat="1" ht="15">
      <c r="A40" s="34" t="s">
        <v>18</v>
      </c>
      <c r="B40" s="408" t="s">
        <v>198</v>
      </c>
      <c r="C40" s="409"/>
      <c r="D40" s="125"/>
      <c r="E40" s="125"/>
      <c r="F40" s="410">
        <f>E24*1%</f>
        <v>559.9626999999999</v>
      </c>
      <c r="G40" s="410"/>
      <c r="H40" s="59"/>
      <c r="I40" s="59"/>
      <c r="J40" s="59"/>
      <c r="K40" s="59"/>
    </row>
    <row r="41" s="59" customFormat="1" ht="12.75"/>
    <row r="42" spans="1:10" s="59" customFormat="1" ht="15">
      <c r="A42" s="67" t="s">
        <v>55</v>
      </c>
      <c r="B42" s="67"/>
      <c r="C42" s="127" t="s">
        <v>49</v>
      </c>
      <c r="D42" s="67"/>
      <c r="E42" s="67"/>
      <c r="F42" s="67" t="s">
        <v>93</v>
      </c>
      <c r="G42" s="67"/>
      <c r="H42" s="158"/>
      <c r="I42" s="158"/>
      <c r="J42" s="158"/>
    </row>
    <row r="43" spans="1:11" ht="15">
      <c r="A43" s="67"/>
      <c r="B43" s="67"/>
      <c r="C43" s="127"/>
      <c r="D43" s="67"/>
      <c r="E43" s="67"/>
      <c r="F43" s="128" t="s">
        <v>516</v>
      </c>
      <c r="G43" s="67"/>
      <c r="H43" s="59"/>
      <c r="I43" s="59"/>
      <c r="J43" s="59"/>
      <c r="K43" s="59"/>
    </row>
    <row r="44" spans="1:11" ht="15">
      <c r="A44" s="67" t="s">
        <v>50</v>
      </c>
      <c r="B44" s="67"/>
      <c r="C44" s="127"/>
      <c r="D44" s="67"/>
      <c r="E44" s="67"/>
      <c r="F44" s="67"/>
      <c r="G44" s="67"/>
      <c r="H44" s="59"/>
      <c r="I44" s="59"/>
      <c r="J44" s="59"/>
      <c r="K44" s="59"/>
    </row>
    <row r="45" spans="1:7" ht="15">
      <c r="A45" s="67"/>
      <c r="B45" s="67"/>
      <c r="C45" s="129" t="s">
        <v>51</v>
      </c>
      <c r="D45" s="67"/>
      <c r="E45" s="130"/>
      <c r="F45" s="130"/>
      <c r="G45" s="130"/>
    </row>
    <row r="46" spans="1:7" ht="12.75">
      <c r="A46" s="59"/>
      <c r="B46" s="59"/>
      <c r="C46" s="59"/>
      <c r="D46" s="59"/>
      <c r="E46" s="59"/>
      <c r="F46" s="59"/>
      <c r="G46" s="59"/>
    </row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32:C32"/>
    <mergeCell ref="B37:C37"/>
    <mergeCell ref="F37:G37"/>
    <mergeCell ref="A35:G35"/>
    <mergeCell ref="A31:F31"/>
    <mergeCell ref="B40:C40"/>
    <mergeCell ref="F40:G40"/>
    <mergeCell ref="B38:C38"/>
    <mergeCell ref="F38:G38"/>
    <mergeCell ref="B39:C39"/>
    <mergeCell ref="F39:G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28">
      <selection activeCell="G34" sqref="G34"/>
    </sheetView>
  </sheetViews>
  <sheetFormatPr defaultColWidth="9.140625" defaultRowHeight="15" outlineLevelCol="1"/>
  <cols>
    <col min="1" max="1" width="5.57421875" style="57" customWidth="1"/>
    <col min="2" max="2" width="51.8515625" style="57" customWidth="1"/>
    <col min="3" max="3" width="15.7109375" style="57" customWidth="1"/>
    <col min="4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3" s="59" customFormat="1" ht="16.5" customHeight="1">
      <c r="A7" s="59" t="s">
        <v>2</v>
      </c>
      <c r="F7" s="60" t="s">
        <v>162</v>
      </c>
      <c r="H7" s="60"/>
      <c r="L7" s="61"/>
      <c r="M7" s="59" t="s">
        <v>133</v>
      </c>
    </row>
    <row r="8" spans="1:8" s="59" customFormat="1" ht="12.75">
      <c r="A8" s="59" t="s">
        <v>3</v>
      </c>
      <c r="F8" s="310" t="s">
        <v>445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415</v>
      </c>
      <c r="B13" s="64"/>
      <c r="C13" s="64"/>
      <c r="D13" s="69"/>
      <c r="E13" s="70"/>
      <c r="F13" s="70"/>
      <c r="G13" s="65">
        <f>'[1]Нефтебаза 5'!$G$35</f>
        <v>202251.0182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59" customFormat="1" ht="14.25">
      <c r="A16" s="75" t="s">
        <v>14</v>
      </c>
      <c r="B16" s="41" t="s">
        <v>15</v>
      </c>
      <c r="C16" s="137">
        <f>C17+C18+C19+C20</f>
        <v>9.879999999999999</v>
      </c>
      <c r="D16" s="76">
        <v>247407.55</v>
      </c>
      <c r="E16" s="76">
        <v>227797.42</v>
      </c>
      <c r="F16" s="76">
        <f>D16</f>
        <v>247407.55</v>
      </c>
      <c r="G16" s="77">
        <f>D16-E16</f>
        <v>19610.129999999976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86642.725</v>
      </c>
      <c r="E17" s="83">
        <f>E16*I17</f>
        <v>79775.20983805669</v>
      </c>
      <c r="F17" s="83">
        <f>D17</f>
        <v>86642.725</v>
      </c>
      <c r="G17" s="84">
        <f>D17-E17</f>
        <v>6867.515161943316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42319.7125</v>
      </c>
      <c r="E18" s="83">
        <f>E16*I18</f>
        <v>38965.34815789474</v>
      </c>
      <c r="F18" s="83">
        <f>D18</f>
        <v>42319.7125</v>
      </c>
      <c r="G18" s="84">
        <f>D18-E18</f>
        <v>3354.364342105262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42319.7125</v>
      </c>
      <c r="E19" s="83">
        <f>E16*I19</f>
        <v>38965.34815789474</v>
      </c>
      <c r="F19" s="83">
        <f>D19</f>
        <v>42319.7125</v>
      </c>
      <c r="G19" s="84">
        <f>D19-E19</f>
        <v>3354.364342105262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76125.4</v>
      </c>
      <c r="E20" s="83">
        <f>E16*I20</f>
        <v>70091.51384615386</v>
      </c>
      <c r="F20" s="83">
        <f>D20</f>
        <v>76125.4</v>
      </c>
      <c r="G20" s="84">
        <f>D20-E20</f>
        <v>6033.886153846135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/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87">
        <v>10</v>
      </c>
      <c r="D24" s="87">
        <v>238522</v>
      </c>
      <c r="E24" s="87">
        <v>232590.88</v>
      </c>
      <c r="F24" s="87">
        <f>F39</f>
        <v>253450.49880000003</v>
      </c>
      <c r="G24" s="77">
        <f t="shared" si="0"/>
        <v>5931.119999999995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77" t="s">
        <v>395</v>
      </c>
      <c r="D25" s="77"/>
      <c r="E25" s="77"/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989580.7</v>
      </c>
      <c r="E26" s="77">
        <f>SUM(E27:E30)</f>
        <v>962322.93</v>
      </c>
      <c r="F26" s="77">
        <f>SUM(F27:F30)</f>
        <v>989580.7</v>
      </c>
      <c r="G26" s="77">
        <f t="shared" si="0"/>
        <v>27257.769999999902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18993.08</v>
      </c>
      <c r="E27" s="84">
        <v>18924.95</v>
      </c>
      <c r="F27" s="84">
        <f>D27</f>
        <v>18993.08</v>
      </c>
      <c r="G27" s="84">
        <f t="shared" si="0"/>
        <v>68.13000000000102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263773</v>
      </c>
      <c r="E28" s="84">
        <v>253003.31</v>
      </c>
      <c r="F28" s="84">
        <f>D28</f>
        <v>263773</v>
      </c>
      <c r="G28" s="84">
        <f t="shared" si="0"/>
        <v>10769.690000000002</v>
      </c>
    </row>
    <row r="29" spans="1:7" ht="15">
      <c r="A29" s="34" t="s">
        <v>42</v>
      </c>
      <c r="B29" s="34" t="s">
        <v>143</v>
      </c>
      <c r="C29" s="145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706814.62</v>
      </c>
      <c r="E30" s="84">
        <v>690394.67</v>
      </c>
      <c r="F30" s="84">
        <f>D30</f>
        <v>706814.62</v>
      </c>
      <c r="G30" s="84">
        <f t="shared" si="0"/>
        <v>16419.949999999953</v>
      </c>
    </row>
    <row r="31" spans="1:9" s="102" customFormat="1" ht="18.7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461088.8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181391.39939999997</v>
      </c>
      <c r="H34" s="62"/>
      <c r="I34" s="62"/>
    </row>
    <row r="35" spans="1:13" s="102" customFormat="1" ht="13.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s="102" customFormat="1" ht="27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101"/>
      <c r="M36" s="101"/>
    </row>
    <row r="38" spans="1:11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J38" s="74"/>
      <c r="K38" s="74"/>
    </row>
    <row r="39" spans="1:14" s="74" customFormat="1" ht="15">
      <c r="A39" s="109" t="s">
        <v>47</v>
      </c>
      <c r="B39" s="396" t="s">
        <v>114</v>
      </c>
      <c r="C39" s="399"/>
      <c r="D39" s="111"/>
      <c r="E39" s="111"/>
      <c r="F39" s="411">
        <f>SUM(F40:G42)</f>
        <v>253450.49880000003</v>
      </c>
      <c r="G39" s="404"/>
      <c r="H39" s="253"/>
      <c r="I39" s="254"/>
      <c r="J39" s="115"/>
      <c r="K39" s="115"/>
      <c r="N39" s="108"/>
    </row>
    <row r="40" spans="1:14" s="115" customFormat="1" ht="15">
      <c r="A40" s="34" t="s">
        <v>16</v>
      </c>
      <c r="B40" s="369" t="s">
        <v>647</v>
      </c>
      <c r="C40" s="415"/>
      <c r="D40" s="119" t="s">
        <v>248</v>
      </c>
      <c r="E40" s="154">
        <v>6</v>
      </c>
      <c r="F40" s="410">
        <v>2255.67</v>
      </c>
      <c r="G40" s="410"/>
      <c r="H40" s="40"/>
      <c r="I40" s="40"/>
      <c r="J40" s="57"/>
      <c r="K40" s="57"/>
      <c r="N40" s="116"/>
    </row>
    <row r="41" spans="1:14" s="115" customFormat="1" ht="15">
      <c r="A41" s="34" t="s">
        <v>18</v>
      </c>
      <c r="B41" s="369" t="s">
        <v>843</v>
      </c>
      <c r="C41" s="415"/>
      <c r="D41" s="119"/>
      <c r="E41" s="176"/>
      <c r="F41" s="410">
        <v>248868.92</v>
      </c>
      <c r="G41" s="410"/>
      <c r="H41" s="40"/>
      <c r="I41" s="40"/>
      <c r="J41" s="57"/>
      <c r="K41" s="57"/>
      <c r="N41" s="116"/>
    </row>
    <row r="42" spans="1:7" s="59" customFormat="1" ht="15">
      <c r="A42" s="34" t="s">
        <v>20</v>
      </c>
      <c r="B42" s="408" t="s">
        <v>198</v>
      </c>
      <c r="C42" s="409"/>
      <c r="D42" s="125"/>
      <c r="E42" s="125"/>
      <c r="F42" s="410">
        <f>E24*1%</f>
        <v>2325.9088</v>
      </c>
      <c r="G42" s="410"/>
    </row>
    <row r="43" spans="1:11" s="67" customFormat="1" ht="1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</row>
    <row r="44" spans="1:11" s="59" customFormat="1" ht="15">
      <c r="A44" s="67" t="s">
        <v>55</v>
      </c>
      <c r="B44" s="67"/>
      <c r="C44" s="127" t="s">
        <v>49</v>
      </c>
      <c r="D44" s="67"/>
      <c r="E44" s="67"/>
      <c r="F44" s="67" t="s">
        <v>93</v>
      </c>
      <c r="G44" s="67"/>
      <c r="H44" s="67"/>
      <c r="I44" s="67"/>
      <c r="J44" s="67"/>
      <c r="K44" s="67"/>
    </row>
    <row r="45" spans="1:7" s="59" customFormat="1" ht="15">
      <c r="A45" s="67"/>
      <c r="B45" s="67"/>
      <c r="C45" s="127"/>
      <c r="D45" s="67"/>
      <c r="E45" s="67"/>
      <c r="F45" s="128" t="s">
        <v>516</v>
      </c>
      <c r="G45" s="67"/>
    </row>
    <row r="46" spans="1:10" s="59" customFormat="1" ht="15">
      <c r="A46" s="67" t="s">
        <v>50</v>
      </c>
      <c r="B46" s="67"/>
      <c r="C46" s="127"/>
      <c r="D46" s="67"/>
      <c r="E46" s="67"/>
      <c r="F46" s="67"/>
      <c r="G46" s="67"/>
      <c r="H46" s="158"/>
      <c r="I46" s="158"/>
      <c r="J46" s="158"/>
    </row>
    <row r="47" spans="1:7" s="59" customFormat="1" ht="15">
      <c r="A47" s="67"/>
      <c r="B47" s="67"/>
      <c r="C47" s="129" t="s">
        <v>51</v>
      </c>
      <c r="D47" s="67"/>
      <c r="E47" s="130"/>
      <c r="F47" s="130"/>
      <c r="G47" s="130"/>
    </row>
    <row r="48" spans="1:11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</row>
  </sheetData>
  <sheetProtection/>
  <mergeCells count="20">
    <mergeCell ref="B39:C39"/>
    <mergeCell ref="F39:G39"/>
    <mergeCell ref="B40:C40"/>
    <mergeCell ref="F40:G40"/>
    <mergeCell ref="A1:K1"/>
    <mergeCell ref="A2:K2"/>
    <mergeCell ref="A3:K3"/>
    <mergeCell ref="A5:K5"/>
    <mergeCell ref="A9:K9"/>
    <mergeCell ref="F38:G38"/>
    <mergeCell ref="B41:C41"/>
    <mergeCell ref="F41:G41"/>
    <mergeCell ref="B42:C42"/>
    <mergeCell ref="F42:G42"/>
    <mergeCell ref="A10:K10"/>
    <mergeCell ref="A11:K11"/>
    <mergeCell ref="A32:C32"/>
    <mergeCell ref="A36:K36"/>
    <mergeCell ref="B38:C38"/>
    <mergeCell ref="A31:F31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7030A0"/>
  </sheetPr>
  <dimension ref="A1:P53"/>
  <sheetViews>
    <sheetView zoomScalePageLayoutView="0" workbookViewId="0" topLeftCell="A34">
      <selection activeCell="G34" sqref="G34"/>
    </sheetView>
  </sheetViews>
  <sheetFormatPr defaultColWidth="9.140625" defaultRowHeight="15" outlineLevelCol="1"/>
  <cols>
    <col min="1" max="1" width="5.57421875" style="57" customWidth="1"/>
    <col min="2" max="2" width="51.8515625" style="57" customWidth="1"/>
    <col min="3" max="3" width="15.7109375" style="57" customWidth="1"/>
    <col min="4" max="4" width="14.8515625" style="57" customWidth="1"/>
    <col min="5" max="6" width="12.8515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10.00390625" style="57" bestFit="1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3" s="59" customFormat="1" ht="16.5" customHeight="1">
      <c r="A7" s="59" t="s">
        <v>2</v>
      </c>
      <c r="F7" s="60" t="s">
        <v>352</v>
      </c>
      <c r="H7" s="60"/>
      <c r="L7" s="61"/>
      <c r="M7" s="59" t="s">
        <v>133</v>
      </c>
    </row>
    <row r="8" spans="1:8" s="59" customFormat="1" ht="12.75">
      <c r="A8" s="59" t="s">
        <v>3</v>
      </c>
      <c r="F8" s="310" t="s">
        <v>446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'[1]Нефтебаза 6'!$G$35</f>
        <v>-8421.884300000005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59" customFormat="1" ht="14.25">
      <c r="A16" s="75" t="s">
        <v>14</v>
      </c>
      <c r="B16" s="41" t="s">
        <v>15</v>
      </c>
      <c r="C16" s="137">
        <f>C17+C18+C19+C20</f>
        <v>9.879999999999999</v>
      </c>
      <c r="D16" s="76">
        <v>279402.83</v>
      </c>
      <c r="E16" s="76">
        <v>270041.4</v>
      </c>
      <c r="F16" s="76">
        <f>D16</f>
        <v>279402.83</v>
      </c>
      <c r="G16" s="77">
        <f>D16-E16</f>
        <v>9361.429999999993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97847.54977732795</v>
      </c>
      <c r="E17" s="83">
        <f>E16*I17</f>
        <v>94569.15425101217</v>
      </c>
      <c r="F17" s="83">
        <f>D17</f>
        <v>97847.54977732795</v>
      </c>
      <c r="G17" s="84">
        <f>D17-E17</f>
        <v>3278.395526315784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47792.58934210527</v>
      </c>
      <c r="E18" s="83">
        <f>E16*I18</f>
        <v>46191.292105263165</v>
      </c>
      <c r="F18" s="83">
        <f>D18</f>
        <v>47792.58934210527</v>
      </c>
      <c r="G18" s="84">
        <f>D18-E18</f>
        <v>1601.2972368421033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47792.58934210527</v>
      </c>
      <c r="E19" s="83">
        <f>E16*I19</f>
        <v>46191.292105263165</v>
      </c>
      <c r="F19" s="83">
        <f>D19</f>
        <v>47792.58934210527</v>
      </c>
      <c r="G19" s="84">
        <f>D19-E19</f>
        <v>1601.2972368421033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85970.10153846155</v>
      </c>
      <c r="E20" s="83">
        <f>E16*I20</f>
        <v>83089.66153846154</v>
      </c>
      <c r="F20" s="83">
        <f>D20</f>
        <v>85970.10153846155</v>
      </c>
      <c r="G20" s="84">
        <f>D20-E20</f>
        <v>2880.4400000000023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3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87">
        <v>1.86</v>
      </c>
      <c r="D24" s="87">
        <v>52662.6</v>
      </c>
      <c r="E24" s="87">
        <v>50774.74</v>
      </c>
      <c r="F24" s="87">
        <f>F39</f>
        <v>28583.3874</v>
      </c>
      <c r="G24" s="77">
        <f t="shared" si="0"/>
        <v>1887.8600000000006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77">
        <v>12.54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1310478.88</v>
      </c>
      <c r="E26" s="77">
        <f>SUM(E27:E30)</f>
        <v>1282984.3800000001</v>
      </c>
      <c r="F26" s="77">
        <f>SUM(F27:F30)</f>
        <v>1310478.88</v>
      </c>
      <c r="G26" s="77">
        <f t="shared" si="0"/>
        <v>27494.499999999767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29379.23</v>
      </c>
      <c r="E27" s="84">
        <v>28654.65</v>
      </c>
      <c r="F27" s="84">
        <f>D27</f>
        <v>29379.23</v>
      </c>
      <c r="G27" s="84">
        <f t="shared" si="0"/>
        <v>724.5799999999981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412276.85</v>
      </c>
      <c r="E28" s="84">
        <v>419955.56</v>
      </c>
      <c r="F28" s="84">
        <f>D28</f>
        <v>412276.85</v>
      </c>
      <c r="G28" s="84">
        <f t="shared" si="0"/>
        <v>-7678.710000000021</v>
      </c>
    </row>
    <row r="29" spans="1:7" ht="15">
      <c r="A29" s="34" t="s">
        <v>42</v>
      </c>
      <c r="B29" s="34" t="s">
        <v>143</v>
      </c>
      <c r="C29" s="145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868822.8</v>
      </c>
      <c r="E30" s="84">
        <v>834374.17</v>
      </c>
      <c r="F30" s="84">
        <f>D30</f>
        <v>868822.8</v>
      </c>
      <c r="G30" s="84">
        <f t="shared" si="0"/>
        <v>34448.630000000005</v>
      </c>
    </row>
    <row r="31" spans="1:9" s="102" customFormat="1" ht="21.7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526294.52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4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13769.468299999993</v>
      </c>
      <c r="H34" s="62"/>
      <c r="I34" s="62"/>
      <c r="N34" s="147"/>
    </row>
    <row r="35" spans="1:13" s="102" customFormat="1" ht="13.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s="102" customFormat="1" ht="27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101"/>
      <c r="M36" s="101"/>
    </row>
    <row r="38" spans="1:11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J38" s="74"/>
      <c r="K38" s="74"/>
    </row>
    <row r="39" spans="1:14" s="74" customFormat="1" ht="15">
      <c r="A39" s="109" t="s">
        <v>47</v>
      </c>
      <c r="B39" s="396" t="s">
        <v>114</v>
      </c>
      <c r="C39" s="399"/>
      <c r="D39" s="111"/>
      <c r="E39" s="111"/>
      <c r="F39" s="411">
        <f>SUM(F40:G47)</f>
        <v>28583.3874</v>
      </c>
      <c r="G39" s="404"/>
      <c r="H39" s="253"/>
      <c r="I39" s="254"/>
      <c r="J39" s="115"/>
      <c r="K39" s="115"/>
      <c r="N39" s="108"/>
    </row>
    <row r="40" spans="1:14" s="115" customFormat="1" ht="15">
      <c r="A40" s="34" t="s">
        <v>16</v>
      </c>
      <c r="B40" s="369" t="s">
        <v>648</v>
      </c>
      <c r="C40" s="371"/>
      <c r="D40" s="119" t="s">
        <v>240</v>
      </c>
      <c r="E40" s="122">
        <v>0.015</v>
      </c>
      <c r="F40" s="420">
        <v>4685.82</v>
      </c>
      <c r="G40" s="421"/>
      <c r="H40" s="255"/>
      <c r="I40" s="256"/>
      <c r="J40" s="57"/>
      <c r="K40" s="57"/>
      <c r="N40" s="116"/>
    </row>
    <row r="41" spans="1:14" ht="15">
      <c r="A41" s="34" t="s">
        <v>18</v>
      </c>
      <c r="B41" s="369" t="s">
        <v>308</v>
      </c>
      <c r="C41" s="371"/>
      <c r="D41" s="119" t="s">
        <v>241</v>
      </c>
      <c r="E41" s="119">
        <v>0.04</v>
      </c>
      <c r="F41" s="420">
        <v>1925.48</v>
      </c>
      <c r="G41" s="421"/>
      <c r="H41" s="40"/>
      <c r="I41" s="40"/>
      <c r="N41" s="120"/>
    </row>
    <row r="42" spans="1:14" ht="15">
      <c r="A42" s="34" t="s">
        <v>20</v>
      </c>
      <c r="B42" s="369" t="s">
        <v>649</v>
      </c>
      <c r="C42" s="371"/>
      <c r="D42" s="119" t="s">
        <v>240</v>
      </c>
      <c r="E42" s="122">
        <v>0.015</v>
      </c>
      <c r="F42" s="455">
        <v>4030.59</v>
      </c>
      <c r="G42" s="456"/>
      <c r="H42" s="40"/>
      <c r="I42" s="40"/>
      <c r="N42" s="120"/>
    </row>
    <row r="43" spans="1:14" ht="15">
      <c r="A43" s="34" t="s">
        <v>22</v>
      </c>
      <c r="B43" s="369" t="s">
        <v>294</v>
      </c>
      <c r="C43" s="371"/>
      <c r="D43" s="119" t="s">
        <v>240</v>
      </c>
      <c r="E43" s="119">
        <v>0.04</v>
      </c>
      <c r="F43" s="455">
        <v>4450.02</v>
      </c>
      <c r="G43" s="456"/>
      <c r="H43" s="40"/>
      <c r="I43" s="40"/>
      <c r="N43" s="120"/>
    </row>
    <row r="44" spans="1:14" ht="15">
      <c r="A44" s="34" t="s">
        <v>24</v>
      </c>
      <c r="B44" s="369" t="s">
        <v>650</v>
      </c>
      <c r="C44" s="371"/>
      <c r="D44" s="119" t="s">
        <v>240</v>
      </c>
      <c r="E44" s="119">
        <v>0.1</v>
      </c>
      <c r="F44" s="455">
        <v>430.37</v>
      </c>
      <c r="G44" s="456"/>
      <c r="H44" s="40"/>
      <c r="I44" s="40"/>
      <c r="N44" s="120"/>
    </row>
    <row r="45" spans="1:14" ht="15">
      <c r="A45" s="34" t="s">
        <v>106</v>
      </c>
      <c r="B45" s="369" t="s">
        <v>608</v>
      </c>
      <c r="C45" s="371"/>
      <c r="D45" s="119" t="s">
        <v>505</v>
      </c>
      <c r="E45" s="119">
        <v>0.04</v>
      </c>
      <c r="F45" s="455">
        <v>2553.36</v>
      </c>
      <c r="G45" s="456"/>
      <c r="H45" s="40"/>
      <c r="I45" s="40"/>
      <c r="N45" s="120"/>
    </row>
    <row r="46" spans="1:14" ht="15">
      <c r="A46" s="34" t="s">
        <v>107</v>
      </c>
      <c r="B46" s="117" t="s">
        <v>840</v>
      </c>
      <c r="C46" s="118"/>
      <c r="D46" s="119"/>
      <c r="E46" s="119"/>
      <c r="F46" s="455">
        <v>10000</v>
      </c>
      <c r="G46" s="456"/>
      <c r="H46" s="40"/>
      <c r="I46" s="40"/>
      <c r="N46" s="120"/>
    </row>
    <row r="47" spans="1:7" s="59" customFormat="1" ht="15">
      <c r="A47" s="34" t="s">
        <v>120</v>
      </c>
      <c r="B47" s="408" t="s">
        <v>198</v>
      </c>
      <c r="C47" s="409"/>
      <c r="D47" s="125"/>
      <c r="E47" s="125"/>
      <c r="F47" s="410">
        <f>E24*1%</f>
        <v>507.74739999999997</v>
      </c>
      <c r="G47" s="410"/>
    </row>
    <row r="48" spans="1:11" s="67" customFormat="1" ht="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1:11" s="59" customFormat="1" ht="15">
      <c r="A49" s="67" t="s">
        <v>55</v>
      </c>
      <c r="B49" s="67"/>
      <c r="C49" s="127" t="s">
        <v>49</v>
      </c>
      <c r="D49" s="67"/>
      <c r="E49" s="67"/>
      <c r="F49" s="67" t="s">
        <v>93</v>
      </c>
      <c r="G49" s="67"/>
      <c r="H49" s="67"/>
      <c r="I49" s="67"/>
      <c r="J49" s="67"/>
      <c r="K49" s="67"/>
    </row>
    <row r="50" spans="1:7" s="59" customFormat="1" ht="15">
      <c r="A50" s="67"/>
      <c r="B50" s="67"/>
      <c r="C50" s="127"/>
      <c r="D50" s="67"/>
      <c r="E50" s="67"/>
      <c r="F50" s="128" t="s">
        <v>516</v>
      </c>
      <c r="G50" s="67"/>
    </row>
    <row r="51" spans="1:10" s="59" customFormat="1" ht="15">
      <c r="A51" s="67" t="s">
        <v>50</v>
      </c>
      <c r="B51" s="67"/>
      <c r="C51" s="127"/>
      <c r="D51" s="67"/>
      <c r="E51" s="67"/>
      <c r="F51" s="67"/>
      <c r="G51" s="67"/>
      <c r="H51" s="158"/>
      <c r="I51" s="158"/>
      <c r="J51" s="158"/>
    </row>
    <row r="52" spans="1:7" s="59" customFormat="1" ht="15">
      <c r="A52" s="67"/>
      <c r="B52" s="67"/>
      <c r="C52" s="129" t="s">
        <v>51</v>
      </c>
      <c r="D52" s="67"/>
      <c r="E52" s="130"/>
      <c r="F52" s="130"/>
      <c r="G52" s="130"/>
    </row>
    <row r="53" spans="1:11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</row>
  </sheetData>
  <sheetProtection/>
  <mergeCells count="29">
    <mergeCell ref="F46:G46"/>
    <mergeCell ref="A10:K10"/>
    <mergeCell ref="A1:K1"/>
    <mergeCell ref="A2:K2"/>
    <mergeCell ref="A3:K3"/>
    <mergeCell ref="A5:K5"/>
    <mergeCell ref="A9:K9"/>
    <mergeCell ref="A11:K11"/>
    <mergeCell ref="A32:C32"/>
    <mergeCell ref="A36:K36"/>
    <mergeCell ref="B38:C38"/>
    <mergeCell ref="F38:G38"/>
    <mergeCell ref="A31:F31"/>
    <mergeCell ref="B47:C47"/>
    <mergeCell ref="F47:G47"/>
    <mergeCell ref="B40:C40"/>
    <mergeCell ref="F40:G40"/>
    <mergeCell ref="B41:C41"/>
    <mergeCell ref="F41:G41"/>
    <mergeCell ref="B45:C45"/>
    <mergeCell ref="F45:G45"/>
    <mergeCell ref="B42:C42"/>
    <mergeCell ref="F42:G42"/>
    <mergeCell ref="B43:C43"/>
    <mergeCell ref="F43:G43"/>
    <mergeCell ref="B39:C39"/>
    <mergeCell ref="F39:G39"/>
    <mergeCell ref="B44:C44"/>
    <mergeCell ref="F44:G4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7030A0"/>
  </sheetPr>
  <dimension ref="A1:N59"/>
  <sheetViews>
    <sheetView zoomScalePageLayoutView="0" workbookViewId="0" topLeftCell="A37">
      <selection activeCell="F52" sqref="F52:G52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163</v>
      </c>
      <c r="H7" s="60"/>
    </row>
    <row r="8" spans="1:8" s="59" customFormat="1" ht="12.75">
      <c r="A8" s="59" t="s">
        <v>3</v>
      </c>
      <c r="F8" s="310" t="s">
        <v>488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'[1]Аэропортовская 14'!$G$36</f>
        <v>-25814.68670000002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C17+C18+C19+C20+C21</f>
        <v>12.87490629433286</v>
      </c>
      <c r="D16" s="76">
        <v>819741.09</v>
      </c>
      <c r="E16" s="76">
        <v>802429.85</v>
      </c>
      <c r="F16" s="76">
        <f aca="true" t="shared" si="0" ref="F16:F21">D16</f>
        <v>819741.09</v>
      </c>
      <c r="G16" s="77">
        <f aca="true" t="shared" si="1" ref="G16:G21">D16-E16</f>
        <v>17311.23999999999</v>
      </c>
      <c r="H16" s="78">
        <f aca="true" t="shared" si="2" ref="H16:H21">C16</f>
        <v>12.87490629433286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220297.07296964593</v>
      </c>
      <c r="E17" s="83">
        <f>E16*I17</f>
        <v>215644.85344814425</v>
      </c>
      <c r="F17" s="83">
        <f t="shared" si="0"/>
        <v>220297.07296964593</v>
      </c>
      <c r="G17" s="84">
        <f t="shared" si="1"/>
        <v>4652.219521501684</v>
      </c>
      <c r="H17" s="78">
        <f t="shared" si="2"/>
        <v>3.46</v>
      </c>
      <c r="I17" s="59">
        <f>H17/H16</f>
        <v>0.26873981999565977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107601.74951407562</v>
      </c>
      <c r="E18" s="83">
        <f>E16*I18</f>
        <v>105329.42263796643</v>
      </c>
      <c r="F18" s="83">
        <f t="shared" si="0"/>
        <v>107601.74951407562</v>
      </c>
      <c r="G18" s="84">
        <f t="shared" si="1"/>
        <v>2272.3268761091895</v>
      </c>
      <c r="H18" s="78">
        <f t="shared" si="2"/>
        <v>1.69</v>
      </c>
      <c r="I18" s="59">
        <f>H18/H16</f>
        <v>0.13126309126955638</v>
      </c>
    </row>
    <row r="19" spans="1:10" s="59" customFormat="1" ht="15">
      <c r="A19" s="81" t="s">
        <v>20</v>
      </c>
      <c r="B19" s="34" t="s">
        <v>21</v>
      </c>
      <c r="C19" s="82">
        <v>2.15</v>
      </c>
      <c r="D19" s="83">
        <f>D16*I19</f>
        <v>136889.79967767018</v>
      </c>
      <c r="E19" s="83">
        <f>E16*I19</f>
        <v>133998.96962818212</v>
      </c>
      <c r="F19" s="83">
        <f t="shared" si="0"/>
        <v>136889.79967767018</v>
      </c>
      <c r="G19" s="84">
        <f t="shared" si="1"/>
        <v>2890.830049488053</v>
      </c>
      <c r="H19" s="78">
        <f t="shared" si="2"/>
        <v>2.15</v>
      </c>
      <c r="I19" s="59">
        <f>H19/H16</f>
        <v>0.1669915066447019</v>
      </c>
      <c r="J19" s="265"/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193555.80977679873</v>
      </c>
      <c r="E20" s="83">
        <f>E16*I20</f>
        <v>189468.3105440343</v>
      </c>
      <c r="F20" s="83">
        <f t="shared" si="0"/>
        <v>193555.80977679873</v>
      </c>
      <c r="G20" s="84">
        <f t="shared" si="1"/>
        <v>4087.499232764443</v>
      </c>
      <c r="H20" s="78">
        <f t="shared" si="2"/>
        <v>3.04</v>
      </c>
      <c r="I20" s="59">
        <f>H20/H16</f>
        <v>0.2361182233487878</v>
      </c>
    </row>
    <row r="21" spans="1:10" s="59" customFormat="1" ht="15">
      <c r="A21" s="81" t="s">
        <v>24</v>
      </c>
      <c r="B21" s="34" t="s">
        <v>448</v>
      </c>
      <c r="C21" s="82">
        <f>(140*97)/5357.2</f>
        <v>2.5349062943328606</v>
      </c>
      <c r="D21" s="83">
        <f>D16*I21</f>
        <v>161396.65806180955</v>
      </c>
      <c r="E21" s="83">
        <f>E16*I21</f>
        <v>157988.29374167288</v>
      </c>
      <c r="F21" s="83">
        <f t="shared" si="0"/>
        <v>161396.65806180955</v>
      </c>
      <c r="G21" s="84">
        <f t="shared" si="1"/>
        <v>3408.364320136665</v>
      </c>
      <c r="H21" s="78">
        <f t="shared" si="2"/>
        <v>2.5349062943328606</v>
      </c>
      <c r="I21" s="59">
        <f>H21/H16</f>
        <v>0.1968873587412942</v>
      </c>
      <c r="J21" s="61" t="s">
        <v>306</v>
      </c>
    </row>
    <row r="22" spans="1:11" s="89" customFormat="1" ht="14.25">
      <c r="A22" s="86" t="s">
        <v>25</v>
      </c>
      <c r="B22" s="86" t="s">
        <v>26</v>
      </c>
      <c r="C22" s="46">
        <v>0</v>
      </c>
      <c r="D22" s="87">
        <v>0</v>
      </c>
      <c r="E22" s="87">
        <v>0</v>
      </c>
      <c r="F22" s="87">
        <v>0</v>
      </c>
      <c r="G22" s="77">
        <f aca="true" t="shared" si="3" ref="G22:G31">D22-E22</f>
        <v>0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28</v>
      </c>
      <c r="C23" s="46"/>
      <c r="D23" s="87">
        <v>0</v>
      </c>
      <c r="E23" s="87">
        <v>0</v>
      </c>
      <c r="F23" s="87">
        <f>D23</f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30</v>
      </c>
      <c r="C24" s="46">
        <v>0</v>
      </c>
      <c r="D24" s="87">
        <v>0</v>
      </c>
      <c r="E24" s="87">
        <v>0</v>
      </c>
      <c r="F24" s="87">
        <v>0</v>
      </c>
      <c r="G24" s="77">
        <f t="shared" si="3"/>
        <v>0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119</v>
      </c>
      <c r="C25" s="95">
        <v>2.06</v>
      </c>
      <c r="D25" s="87">
        <v>130845.24</v>
      </c>
      <c r="E25" s="87">
        <v>129085.66</v>
      </c>
      <c r="F25" s="87">
        <f>F40</f>
        <v>48260.6166</v>
      </c>
      <c r="G25" s="77">
        <f t="shared" si="3"/>
        <v>1759.5800000000017</v>
      </c>
      <c r="H25" s="88"/>
      <c r="I25" s="88"/>
      <c r="J25" s="88"/>
      <c r="K25" s="88"/>
    </row>
    <row r="26" spans="1:11" ht="14.25">
      <c r="A26" s="41" t="s">
        <v>33</v>
      </c>
      <c r="B26" s="41" t="s">
        <v>168</v>
      </c>
      <c r="C26" s="97">
        <v>12.54</v>
      </c>
      <c r="D26" s="77">
        <v>0</v>
      </c>
      <c r="E26" s="77">
        <v>0</v>
      </c>
      <c r="F26" s="87">
        <v>0</v>
      </c>
      <c r="G26" s="77">
        <f t="shared" si="3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>
        <v>0</v>
      </c>
      <c r="D27" s="77">
        <f>SUM(D28:D31)</f>
        <v>3157905.93</v>
      </c>
      <c r="E27" s="77">
        <f>SUM(E28:E31)</f>
        <v>3124425.5700000003</v>
      </c>
      <c r="F27" s="77">
        <f>SUM(F28:F31)</f>
        <v>3157905.93</v>
      </c>
      <c r="G27" s="77">
        <f t="shared" si="3"/>
        <v>33480.35999999987</v>
      </c>
      <c r="H27" s="98"/>
      <c r="I27" s="98"/>
      <c r="J27" s="98"/>
      <c r="K27" s="98"/>
    </row>
    <row r="28" spans="1:7" ht="15">
      <c r="A28" s="34" t="s">
        <v>37</v>
      </c>
      <c r="B28" s="34" t="s">
        <v>172</v>
      </c>
      <c r="C28" s="293" t="s">
        <v>379</v>
      </c>
      <c r="D28" s="84">
        <v>82278.13</v>
      </c>
      <c r="E28" s="84">
        <v>79616.62</v>
      </c>
      <c r="F28" s="84">
        <f>D28</f>
        <v>82278.13</v>
      </c>
      <c r="G28" s="84">
        <f t="shared" si="3"/>
        <v>2661.5100000000093</v>
      </c>
    </row>
    <row r="29" spans="1:7" ht="15">
      <c r="A29" s="34" t="s">
        <v>39</v>
      </c>
      <c r="B29" s="34" t="s">
        <v>142</v>
      </c>
      <c r="C29" s="293" t="s">
        <v>382</v>
      </c>
      <c r="D29" s="84">
        <v>436778.01</v>
      </c>
      <c r="E29" s="84">
        <v>428347.72</v>
      </c>
      <c r="F29" s="84">
        <f>D29</f>
        <v>436778.01</v>
      </c>
      <c r="G29" s="84">
        <f t="shared" si="3"/>
        <v>8430.290000000037</v>
      </c>
    </row>
    <row r="30" spans="1:7" ht="15">
      <c r="A30" s="34" t="s">
        <v>42</v>
      </c>
      <c r="B30" s="34" t="s">
        <v>143</v>
      </c>
      <c r="C30" s="294" t="s">
        <v>447</v>
      </c>
      <c r="D30" s="84">
        <v>685059.93</v>
      </c>
      <c r="E30" s="84">
        <v>672567.63</v>
      </c>
      <c r="F30" s="84">
        <f>D30</f>
        <v>685059.93</v>
      </c>
      <c r="G30" s="84">
        <f t="shared" si="3"/>
        <v>12492.300000000047</v>
      </c>
    </row>
    <row r="31" spans="1:7" ht="15">
      <c r="A31" s="34" t="s">
        <v>41</v>
      </c>
      <c r="B31" s="34" t="s">
        <v>43</v>
      </c>
      <c r="C31" s="293" t="s">
        <v>380</v>
      </c>
      <c r="D31" s="84">
        <v>1953789.86</v>
      </c>
      <c r="E31" s="84">
        <v>1943893.6</v>
      </c>
      <c r="F31" s="84">
        <f>D31</f>
        <v>1953789.86</v>
      </c>
      <c r="G31" s="84">
        <f t="shared" si="3"/>
        <v>9896.26000000001</v>
      </c>
    </row>
    <row r="32" spans="1:9" s="102" customFormat="1" ht="16.5" customHeight="1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</row>
    <row r="33" spans="1:9" s="67" customFormat="1" ht="15.75" thickBot="1">
      <c r="A33" s="378" t="s">
        <v>383</v>
      </c>
      <c r="B33" s="379"/>
      <c r="C33" s="379"/>
      <c r="D33" s="65">
        <v>1553015.89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387</v>
      </c>
      <c r="B35" s="64"/>
      <c r="C35" s="64"/>
      <c r="D35" s="69"/>
      <c r="E35" s="70"/>
      <c r="F35" s="70"/>
      <c r="G35" s="146">
        <f>G13+E25-F25</f>
        <v>55010.35669999998</v>
      </c>
      <c r="H35" s="62"/>
      <c r="I35" s="62"/>
    </row>
    <row r="36" spans="1:11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1" ht="31.5" customHeight="1">
      <c r="A37" s="367" t="s">
        <v>189</v>
      </c>
      <c r="B37" s="403"/>
      <c r="C37" s="403"/>
      <c r="D37" s="403"/>
      <c r="E37" s="403"/>
      <c r="F37" s="403"/>
      <c r="G37" s="403"/>
      <c r="H37" s="58"/>
      <c r="I37" s="58"/>
      <c r="J37" s="58"/>
      <c r="K37" s="58"/>
    </row>
    <row r="39" spans="1:12" s="74" customFormat="1" ht="37.5" customHeight="1">
      <c r="A39" s="105" t="s">
        <v>11</v>
      </c>
      <c r="B39" s="497" t="s">
        <v>45</v>
      </c>
      <c r="C39" s="497"/>
      <c r="D39" s="105" t="s">
        <v>170</v>
      </c>
      <c r="E39" s="105" t="s">
        <v>169</v>
      </c>
      <c r="F39" s="497" t="s">
        <v>46</v>
      </c>
      <c r="G39" s="497"/>
      <c r="H39" s="106"/>
      <c r="I39" s="107"/>
      <c r="L39" s="108"/>
    </row>
    <row r="40" spans="1:12" s="115" customFormat="1" ht="15" customHeight="1">
      <c r="A40" s="109" t="s">
        <v>47</v>
      </c>
      <c r="B40" s="498" t="s">
        <v>114</v>
      </c>
      <c r="C40" s="498"/>
      <c r="D40" s="111"/>
      <c r="E40" s="111"/>
      <c r="F40" s="507">
        <f>SUM(F41:G53)</f>
        <v>48260.6166</v>
      </c>
      <c r="G40" s="508"/>
      <c r="H40" s="113"/>
      <c r="I40" s="114"/>
      <c r="L40" s="116"/>
    </row>
    <row r="41" spans="1:12" s="115" customFormat="1" ht="15" customHeight="1">
      <c r="A41" s="34" t="s">
        <v>16</v>
      </c>
      <c r="B41" s="496" t="s">
        <v>624</v>
      </c>
      <c r="C41" s="496"/>
      <c r="D41" s="119" t="s">
        <v>240</v>
      </c>
      <c r="E41" s="119">
        <v>0.4</v>
      </c>
      <c r="F41" s="410">
        <v>3665</v>
      </c>
      <c r="G41" s="410"/>
      <c r="H41" s="113"/>
      <c r="I41" s="114"/>
      <c r="L41" s="116"/>
    </row>
    <row r="42" spans="1:12" s="115" customFormat="1" ht="15" customHeight="1">
      <c r="A42" s="34" t="s">
        <v>18</v>
      </c>
      <c r="B42" s="496" t="s">
        <v>651</v>
      </c>
      <c r="C42" s="496"/>
      <c r="D42" s="119" t="s">
        <v>240</v>
      </c>
      <c r="E42" s="119">
        <v>0.01</v>
      </c>
      <c r="F42" s="410">
        <v>1538.78</v>
      </c>
      <c r="G42" s="410"/>
      <c r="H42" s="113"/>
      <c r="I42" s="114"/>
      <c r="L42" s="116"/>
    </row>
    <row r="43" spans="1:12" ht="15">
      <c r="A43" s="34" t="s">
        <v>20</v>
      </c>
      <c r="B43" s="496" t="s">
        <v>652</v>
      </c>
      <c r="C43" s="496"/>
      <c r="D43" s="119" t="s">
        <v>248</v>
      </c>
      <c r="E43" s="119">
        <v>1</v>
      </c>
      <c r="F43" s="410">
        <v>7761.85</v>
      </c>
      <c r="G43" s="410"/>
      <c r="H43" s="40"/>
      <c r="I43" s="40"/>
      <c r="L43" s="120"/>
    </row>
    <row r="44" spans="1:12" ht="15">
      <c r="A44" s="34" t="s">
        <v>22</v>
      </c>
      <c r="B44" s="496" t="s">
        <v>653</v>
      </c>
      <c r="C44" s="496"/>
      <c r="D44" s="119" t="s">
        <v>240</v>
      </c>
      <c r="E44" s="119">
        <v>0.01</v>
      </c>
      <c r="F44" s="410">
        <v>2404.8</v>
      </c>
      <c r="G44" s="410"/>
      <c r="H44" s="40"/>
      <c r="I44" s="40"/>
      <c r="L44" s="120"/>
    </row>
    <row r="45" spans="1:9" ht="15">
      <c r="A45" s="34" t="s">
        <v>24</v>
      </c>
      <c r="B45" s="496" t="s">
        <v>654</v>
      </c>
      <c r="C45" s="496"/>
      <c r="D45" s="119" t="s">
        <v>240</v>
      </c>
      <c r="E45" s="119">
        <v>0.01</v>
      </c>
      <c r="F45" s="410">
        <v>1470</v>
      </c>
      <c r="G45" s="410"/>
      <c r="H45" s="40"/>
      <c r="I45" s="40"/>
    </row>
    <row r="46" spans="1:9" ht="15">
      <c r="A46" s="34" t="s">
        <v>106</v>
      </c>
      <c r="B46" s="496" t="s">
        <v>655</v>
      </c>
      <c r="C46" s="496"/>
      <c r="D46" s="119" t="s">
        <v>240</v>
      </c>
      <c r="E46" s="119">
        <v>0.01</v>
      </c>
      <c r="F46" s="410">
        <v>1424.03</v>
      </c>
      <c r="G46" s="410"/>
      <c r="H46" s="40"/>
      <c r="I46" s="40"/>
    </row>
    <row r="47" spans="1:9" ht="15">
      <c r="A47" s="34" t="s">
        <v>107</v>
      </c>
      <c r="B47" s="496" t="s">
        <v>655</v>
      </c>
      <c r="C47" s="496"/>
      <c r="D47" s="119" t="s">
        <v>240</v>
      </c>
      <c r="E47" s="119">
        <v>0.01</v>
      </c>
      <c r="F47" s="410">
        <v>1424.03</v>
      </c>
      <c r="G47" s="410"/>
      <c r="H47" s="40"/>
      <c r="I47" s="40"/>
    </row>
    <row r="48" spans="1:9" ht="15">
      <c r="A48" s="34" t="s">
        <v>120</v>
      </c>
      <c r="B48" s="496" t="s">
        <v>608</v>
      </c>
      <c r="C48" s="496"/>
      <c r="D48" s="119" t="s">
        <v>505</v>
      </c>
      <c r="E48" s="119">
        <v>0.01</v>
      </c>
      <c r="F48" s="410">
        <v>267.7</v>
      </c>
      <c r="G48" s="410"/>
      <c r="H48" s="40"/>
      <c r="I48" s="40"/>
    </row>
    <row r="49" spans="1:9" ht="15">
      <c r="A49" s="34" t="s">
        <v>121</v>
      </c>
      <c r="B49" s="496" t="s">
        <v>690</v>
      </c>
      <c r="C49" s="496"/>
      <c r="D49" s="119" t="s">
        <v>248</v>
      </c>
      <c r="E49" s="119">
        <v>1</v>
      </c>
      <c r="F49" s="410">
        <v>13746.56</v>
      </c>
      <c r="G49" s="410"/>
      <c r="H49" s="40"/>
      <c r="I49" s="40"/>
    </row>
    <row r="50" spans="1:11" s="59" customFormat="1" ht="15">
      <c r="A50" s="34" t="s">
        <v>122</v>
      </c>
      <c r="B50" s="496" t="s">
        <v>756</v>
      </c>
      <c r="C50" s="496"/>
      <c r="D50" s="119" t="s">
        <v>240</v>
      </c>
      <c r="E50" s="119">
        <v>0.04</v>
      </c>
      <c r="F50" s="410">
        <v>2349.01</v>
      </c>
      <c r="G50" s="410"/>
      <c r="H50" s="40"/>
      <c r="I50" s="40"/>
      <c r="J50" s="57"/>
      <c r="K50" s="57"/>
    </row>
    <row r="51" spans="1:11" s="59" customFormat="1" ht="15">
      <c r="A51" s="34" t="s">
        <v>144</v>
      </c>
      <c r="B51" s="369" t="s">
        <v>791</v>
      </c>
      <c r="C51" s="422"/>
      <c r="D51" s="119"/>
      <c r="E51" s="119"/>
      <c r="F51" s="410">
        <v>8000</v>
      </c>
      <c r="G51" s="410"/>
      <c r="H51" s="40"/>
      <c r="I51" s="40"/>
      <c r="J51" s="57"/>
      <c r="K51" s="57"/>
    </row>
    <row r="52" spans="1:11" s="59" customFormat="1" ht="15">
      <c r="A52" s="34" t="s">
        <v>146</v>
      </c>
      <c r="B52" s="496" t="s">
        <v>844</v>
      </c>
      <c r="C52" s="496"/>
      <c r="D52" s="119"/>
      <c r="E52" s="119"/>
      <c r="F52" s="410">
        <v>2918</v>
      </c>
      <c r="G52" s="410"/>
      <c r="H52" s="40"/>
      <c r="I52" s="40"/>
      <c r="J52" s="57"/>
      <c r="K52" s="57"/>
    </row>
    <row r="53" spans="1:11" s="67" customFormat="1" ht="15">
      <c r="A53" s="34" t="s">
        <v>147</v>
      </c>
      <c r="B53" s="499" t="s">
        <v>198</v>
      </c>
      <c r="C53" s="499"/>
      <c r="D53" s="125"/>
      <c r="E53" s="125"/>
      <c r="F53" s="410">
        <f>E25*1%</f>
        <v>1290.8566</v>
      </c>
      <c r="G53" s="410"/>
      <c r="H53" s="59"/>
      <c r="I53" s="59"/>
      <c r="J53" s="59"/>
      <c r="K53" s="59"/>
    </row>
    <row r="54" s="59" customFormat="1" ht="9" customHeight="1"/>
    <row r="55" spans="1:11" s="59" customFormat="1" ht="15">
      <c r="A55" s="67" t="s">
        <v>55</v>
      </c>
      <c r="B55" s="67"/>
      <c r="C55" s="127" t="s">
        <v>49</v>
      </c>
      <c r="D55" s="67"/>
      <c r="E55" s="67"/>
      <c r="F55" s="67" t="s">
        <v>93</v>
      </c>
      <c r="G55" s="67"/>
      <c r="H55" s="67"/>
      <c r="I55" s="67"/>
      <c r="J55" s="67"/>
      <c r="K55" s="67"/>
    </row>
    <row r="56" spans="1:7" s="59" customFormat="1" ht="15">
      <c r="A56" s="67"/>
      <c r="B56" s="67"/>
      <c r="C56" s="127"/>
      <c r="D56" s="67"/>
      <c r="E56" s="67"/>
      <c r="F56" s="128" t="s">
        <v>516</v>
      </c>
      <c r="G56" s="67"/>
    </row>
    <row r="57" spans="1:10" s="59" customFormat="1" ht="15">
      <c r="A57" s="67" t="s">
        <v>50</v>
      </c>
      <c r="B57" s="67"/>
      <c r="C57" s="127"/>
      <c r="D57" s="67"/>
      <c r="E57" s="67"/>
      <c r="F57" s="67"/>
      <c r="G57" s="67"/>
      <c r="H57" s="158"/>
      <c r="I57" s="158"/>
      <c r="J57" s="158"/>
    </row>
    <row r="58" spans="1:11" ht="15">
      <c r="A58" s="67"/>
      <c r="B58" s="67"/>
      <c r="C58" s="129" t="s">
        <v>51</v>
      </c>
      <c r="D58" s="67"/>
      <c r="E58" s="130"/>
      <c r="F58" s="130"/>
      <c r="G58" s="130"/>
      <c r="H58" s="59"/>
      <c r="I58" s="59"/>
      <c r="J58" s="59"/>
      <c r="K58" s="59"/>
    </row>
    <row r="59" spans="1:11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</row>
  </sheetData>
  <sheetProtection/>
  <mergeCells count="40">
    <mergeCell ref="B52:C52"/>
    <mergeCell ref="F52:G52"/>
    <mergeCell ref="B51:C51"/>
    <mergeCell ref="B41:C41"/>
    <mergeCell ref="B42:C42"/>
    <mergeCell ref="B43:C43"/>
    <mergeCell ref="F43:G43"/>
    <mergeCell ref="B46:C46"/>
    <mergeCell ref="B47:C47"/>
    <mergeCell ref="F46:G46"/>
    <mergeCell ref="F47:G47"/>
    <mergeCell ref="B44:C44"/>
    <mergeCell ref="F44:G44"/>
    <mergeCell ref="B53:C53"/>
    <mergeCell ref="F53:G53"/>
    <mergeCell ref="B45:C45"/>
    <mergeCell ref="F45:G45"/>
    <mergeCell ref="B50:C50"/>
    <mergeCell ref="F50:G50"/>
    <mergeCell ref="B48:C48"/>
    <mergeCell ref="B49:C49"/>
    <mergeCell ref="F48:G48"/>
    <mergeCell ref="F49:G49"/>
    <mergeCell ref="F39:G39"/>
    <mergeCell ref="A10:K10"/>
    <mergeCell ref="A1:K1"/>
    <mergeCell ref="A2:K2"/>
    <mergeCell ref="A3:K3"/>
    <mergeCell ref="A5:K5"/>
    <mergeCell ref="A9:K9"/>
    <mergeCell ref="F51:G51"/>
    <mergeCell ref="A11:K11"/>
    <mergeCell ref="A33:C33"/>
    <mergeCell ref="F41:G41"/>
    <mergeCell ref="F42:G42"/>
    <mergeCell ref="B40:C40"/>
    <mergeCell ref="F40:G40"/>
    <mergeCell ref="A37:G37"/>
    <mergeCell ref="A32:F32"/>
    <mergeCell ref="B39:C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7030A0"/>
  </sheetPr>
  <dimension ref="A1:K49"/>
  <sheetViews>
    <sheetView zoomScalePageLayoutView="0" workbookViewId="0" topLeftCell="A22">
      <selection activeCell="G35" sqref="G35"/>
    </sheetView>
  </sheetViews>
  <sheetFormatPr defaultColWidth="9.140625" defaultRowHeight="15" outlineLevelCol="1"/>
  <cols>
    <col min="1" max="1" width="5.421875" style="57" customWidth="1"/>
    <col min="2" max="2" width="48.8515625" style="57" customWidth="1"/>
    <col min="3" max="3" width="14.28125" style="57" customWidth="1"/>
    <col min="4" max="4" width="14.8515625" style="57" customWidth="1"/>
    <col min="5" max="5" width="13.140625" style="57" customWidth="1"/>
    <col min="6" max="6" width="15.7109375" style="57" customWidth="1"/>
    <col min="7" max="7" width="14.57421875" style="57" customWidth="1"/>
    <col min="8" max="9" width="11.57421875" style="57" hidden="1" customWidth="1" outlineLevel="1"/>
    <col min="10" max="10" width="9.140625" style="57" customWidth="1" collapsed="1"/>
    <col min="11" max="16384" width="9.140625" style="57" customWidth="1"/>
  </cols>
  <sheetData>
    <row r="1" spans="1:9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</row>
    <row r="2" spans="1:9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</row>
    <row r="3" spans="1:9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</row>
    <row r="7" spans="1:8" s="59" customFormat="1" ht="16.5" customHeight="1">
      <c r="A7" s="59" t="s">
        <v>2</v>
      </c>
      <c r="F7" s="60" t="s">
        <v>164</v>
      </c>
      <c r="H7" s="60"/>
    </row>
    <row r="8" spans="1:8" s="59" customFormat="1" ht="12.75">
      <c r="A8" s="59" t="s">
        <v>3</v>
      </c>
      <c r="F8" s="310" t="s">
        <v>339</v>
      </c>
      <c r="H8" s="60"/>
    </row>
    <row r="9" spans="1:9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</row>
    <row r="10" spans="1:9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</row>
    <row r="11" spans="1:9" s="59" customFormat="1" ht="15.75" customHeight="1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'[1]Дорожная 11 корп1'!$G$36</f>
        <v>90439.70749999999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1" s="59" customFormat="1" ht="14.25">
      <c r="A16" s="75" t="s">
        <v>14</v>
      </c>
      <c r="B16" s="41" t="s">
        <v>15</v>
      </c>
      <c r="C16" s="46">
        <f>C17+C18+C19+C20</f>
        <v>9.34</v>
      </c>
      <c r="D16" s="76">
        <v>283221.68</v>
      </c>
      <c r="E16" s="76">
        <v>293033.95</v>
      </c>
      <c r="F16" s="76">
        <f aca="true" t="shared" si="0" ref="F16:F23">D16</f>
        <v>283221.68</v>
      </c>
      <c r="G16" s="77">
        <f aca="true" t="shared" si="1" ref="G16:G21">D16-E16</f>
        <v>-9812.270000000019</v>
      </c>
      <c r="H16" s="78">
        <f aca="true" t="shared" si="2" ref="H16:H21">C16</f>
        <v>9.34</v>
      </c>
      <c r="I16" s="79"/>
      <c r="J16" s="79"/>
      <c r="K16" s="79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104919.38038543897</v>
      </c>
      <c r="E17" s="83">
        <f>E16*I17</f>
        <v>108554.33265524627</v>
      </c>
      <c r="F17" s="83">
        <f t="shared" si="0"/>
        <v>104919.38038543897</v>
      </c>
      <c r="G17" s="84">
        <f t="shared" si="1"/>
        <v>-3634.952269807298</v>
      </c>
      <c r="H17" s="78">
        <f t="shared" si="2"/>
        <v>3.46</v>
      </c>
      <c r="I17" s="59">
        <f>H17/H16</f>
        <v>0.37044967880085655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51246.74937901499</v>
      </c>
      <c r="E18" s="83">
        <f>E16*I18</f>
        <v>53022.20294432549</v>
      </c>
      <c r="F18" s="83">
        <f t="shared" si="0"/>
        <v>51246.74937901499</v>
      </c>
      <c r="G18" s="84">
        <f t="shared" si="1"/>
        <v>-1775.4535653104977</v>
      </c>
      <c r="H18" s="78">
        <f t="shared" si="2"/>
        <v>1.69</v>
      </c>
      <c r="I18" s="59">
        <f>H18/H16</f>
        <v>0.1809421841541756</v>
      </c>
    </row>
    <row r="19" spans="1:9" s="59" customFormat="1" ht="15">
      <c r="A19" s="81" t="s">
        <v>20</v>
      </c>
      <c r="B19" s="34" t="s">
        <v>21</v>
      </c>
      <c r="C19" s="85">
        <v>1.15</v>
      </c>
      <c r="D19" s="83">
        <f>D16*I19</f>
        <v>34872.048394004276</v>
      </c>
      <c r="E19" s="83">
        <f>E16*I19</f>
        <v>36080.19726980728</v>
      </c>
      <c r="F19" s="83">
        <f t="shared" si="0"/>
        <v>34872.048394004276</v>
      </c>
      <c r="G19" s="84">
        <f t="shared" si="1"/>
        <v>-1208.1488758030027</v>
      </c>
      <c r="H19" s="78">
        <f t="shared" si="2"/>
        <v>1.15</v>
      </c>
      <c r="I19" s="59">
        <f>H19/H16</f>
        <v>0.12312633832976444</v>
      </c>
    </row>
    <row r="20" spans="1:9" s="59" customFormat="1" ht="14.25" customHeight="1">
      <c r="A20" s="81" t="s">
        <v>22</v>
      </c>
      <c r="B20" s="34" t="s">
        <v>23</v>
      </c>
      <c r="C20" s="85">
        <v>3.04</v>
      </c>
      <c r="D20" s="83">
        <f>D16*I20</f>
        <v>92183.50184154176</v>
      </c>
      <c r="E20" s="83">
        <f>E16*I20</f>
        <v>95377.217130621</v>
      </c>
      <c r="F20" s="83">
        <f t="shared" si="0"/>
        <v>92183.50184154176</v>
      </c>
      <c r="G20" s="84">
        <f t="shared" si="1"/>
        <v>-3193.715289079235</v>
      </c>
      <c r="H20" s="78">
        <f t="shared" si="2"/>
        <v>3.04</v>
      </c>
      <c r="I20" s="59">
        <f>H20/H16</f>
        <v>0.32548179871520344</v>
      </c>
    </row>
    <row r="21" spans="1:8" s="59" customFormat="1" ht="14.25" customHeight="1">
      <c r="A21" s="75" t="s">
        <v>25</v>
      </c>
      <c r="B21" s="41" t="s">
        <v>340</v>
      </c>
      <c r="C21" s="97">
        <v>2.51</v>
      </c>
      <c r="D21" s="76">
        <v>76878.48</v>
      </c>
      <c r="E21" s="76">
        <v>79226.29</v>
      </c>
      <c r="F21" s="76">
        <f>D21</f>
        <v>76878.48</v>
      </c>
      <c r="G21" s="77">
        <f t="shared" si="1"/>
        <v>-2347.8099999999977</v>
      </c>
      <c r="H21" s="78">
        <f t="shared" si="2"/>
        <v>2.51</v>
      </c>
    </row>
    <row r="22" spans="1:11" s="89" customFormat="1" ht="14.25">
      <c r="A22" s="86" t="s">
        <v>27</v>
      </c>
      <c r="B22" s="86" t="s">
        <v>26</v>
      </c>
      <c r="C22" s="46">
        <v>3.86</v>
      </c>
      <c r="D22" s="87">
        <v>116542.56</v>
      </c>
      <c r="E22" s="87">
        <v>120434.39</v>
      </c>
      <c r="F22" s="87">
        <f t="shared" si="0"/>
        <v>116542.56</v>
      </c>
      <c r="G22" s="77">
        <f aca="true" t="shared" si="3" ref="G22:G31">D22-E22</f>
        <v>-3891.8300000000017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28</v>
      </c>
      <c r="C23" s="46"/>
      <c r="D23" s="87">
        <v>0</v>
      </c>
      <c r="E23" s="87">
        <v>0</v>
      </c>
      <c r="F23" s="87">
        <f t="shared" si="0"/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168</v>
      </c>
      <c r="C24" s="46">
        <v>12.54</v>
      </c>
      <c r="D24" s="87">
        <v>0</v>
      </c>
      <c r="E24" s="87">
        <v>0</v>
      </c>
      <c r="F24" s="87">
        <f>D24</f>
        <v>0</v>
      </c>
      <c r="G24" s="77">
        <f t="shared" si="3"/>
        <v>0</v>
      </c>
      <c r="H24" s="88"/>
      <c r="I24" s="88"/>
      <c r="J24" s="88"/>
      <c r="K24" s="88"/>
    </row>
    <row r="25" spans="1:11" s="89" customFormat="1" ht="14.25">
      <c r="A25" s="86" t="s">
        <v>206</v>
      </c>
      <c r="B25" s="86" t="s">
        <v>119</v>
      </c>
      <c r="C25" s="95">
        <v>1.66</v>
      </c>
      <c r="D25" s="87">
        <v>50333.36</v>
      </c>
      <c r="E25" s="87">
        <v>52026.72</v>
      </c>
      <c r="F25" s="87">
        <f>F40</f>
        <v>16918.3572</v>
      </c>
      <c r="G25" s="77">
        <f t="shared" si="3"/>
        <v>-1693.3600000000006</v>
      </c>
      <c r="H25" s="88"/>
      <c r="I25" s="88"/>
      <c r="J25" s="88"/>
      <c r="K25" s="88"/>
    </row>
    <row r="26" spans="1:11" ht="14.25">
      <c r="A26" s="41" t="s">
        <v>277</v>
      </c>
      <c r="B26" s="41" t="s">
        <v>34</v>
      </c>
      <c r="C26" s="97">
        <v>0</v>
      </c>
      <c r="D26" s="77">
        <v>0</v>
      </c>
      <c r="E26" s="77">
        <v>0</v>
      </c>
      <c r="F26" s="87">
        <v>0</v>
      </c>
      <c r="G26" s="77">
        <f t="shared" si="3"/>
        <v>0</v>
      </c>
      <c r="H26" s="98"/>
      <c r="I26" s="98"/>
      <c r="J26" s="98"/>
      <c r="K26" s="98"/>
    </row>
    <row r="27" spans="1:11" ht="14.25">
      <c r="A27" s="41" t="s">
        <v>211</v>
      </c>
      <c r="B27" s="41" t="s">
        <v>36</v>
      </c>
      <c r="C27" s="97">
        <v>0</v>
      </c>
      <c r="D27" s="77">
        <f>SUM(D28:D31)</f>
        <v>292640.48</v>
      </c>
      <c r="E27" s="77">
        <f>SUM(E28:E31)</f>
        <v>303937.76</v>
      </c>
      <c r="F27" s="77">
        <f>SUM(F28:F31)</f>
        <v>292640.48</v>
      </c>
      <c r="G27" s="77">
        <f t="shared" si="3"/>
        <v>-11297.280000000028</v>
      </c>
      <c r="H27" s="98"/>
      <c r="I27" s="98"/>
      <c r="J27" s="98"/>
      <c r="K27" s="98"/>
    </row>
    <row r="28" spans="1:7" ht="15">
      <c r="A28" s="34" t="s">
        <v>213</v>
      </c>
      <c r="B28" s="34" t="s">
        <v>172</v>
      </c>
      <c r="C28" s="293" t="s">
        <v>379</v>
      </c>
      <c r="D28" s="84">
        <v>64724.21</v>
      </c>
      <c r="E28" s="84">
        <v>66407.23</v>
      </c>
      <c r="F28" s="84">
        <f>D28</f>
        <v>64724.21</v>
      </c>
      <c r="G28" s="84">
        <f t="shared" si="3"/>
        <v>-1683.0199999999968</v>
      </c>
    </row>
    <row r="29" spans="1:7" ht="15">
      <c r="A29" s="34" t="s">
        <v>214</v>
      </c>
      <c r="B29" s="34" t="s">
        <v>142</v>
      </c>
      <c r="C29" s="293" t="s">
        <v>382</v>
      </c>
      <c r="D29" s="84">
        <v>227916.27</v>
      </c>
      <c r="E29" s="84">
        <v>237530.53</v>
      </c>
      <c r="F29" s="84">
        <f>D29</f>
        <v>227916.27</v>
      </c>
      <c r="G29" s="84">
        <f t="shared" si="3"/>
        <v>-9614.26000000001</v>
      </c>
    </row>
    <row r="30" spans="1:7" ht="15">
      <c r="A30" s="34" t="s">
        <v>215</v>
      </c>
      <c r="B30" s="34" t="s">
        <v>143</v>
      </c>
      <c r="C30" s="145"/>
      <c r="D30" s="84">
        <v>0</v>
      </c>
      <c r="E30" s="84">
        <v>0</v>
      </c>
      <c r="F30" s="84">
        <f>D30</f>
        <v>0</v>
      </c>
      <c r="G30" s="84">
        <f t="shared" si="3"/>
        <v>0</v>
      </c>
    </row>
    <row r="31" spans="1:7" ht="15">
      <c r="A31" s="34" t="s">
        <v>216</v>
      </c>
      <c r="B31" s="34" t="s">
        <v>43</v>
      </c>
      <c r="C31" s="145"/>
      <c r="D31" s="84">
        <v>0</v>
      </c>
      <c r="E31" s="84">
        <v>0</v>
      </c>
      <c r="F31" s="84">
        <f>D31</f>
        <v>0</v>
      </c>
      <c r="G31" s="84">
        <f t="shared" si="3"/>
        <v>0</v>
      </c>
    </row>
    <row r="32" spans="1:9" s="102" customFormat="1" ht="16.5" customHeight="1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</row>
    <row r="33" spans="1:9" s="67" customFormat="1" ht="15.75" thickBot="1">
      <c r="A33" s="378" t="s">
        <v>383</v>
      </c>
      <c r="B33" s="379"/>
      <c r="C33" s="379"/>
      <c r="D33" s="65">
        <v>89949.31</v>
      </c>
      <c r="E33" s="66"/>
      <c r="F33" s="66"/>
      <c r="G33" s="66"/>
      <c r="H33" s="62"/>
      <c r="I33" s="62"/>
    </row>
    <row r="34" spans="1:9" s="67" customFormat="1" ht="9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387</v>
      </c>
      <c r="B35" s="64"/>
      <c r="C35" s="64"/>
      <c r="D35" s="69"/>
      <c r="E35" s="70"/>
      <c r="F35" s="70"/>
      <c r="G35" s="146">
        <f>G13+E25-F25</f>
        <v>125548.07029999999</v>
      </c>
      <c r="H35" s="62"/>
      <c r="I35" s="62"/>
    </row>
    <row r="36" spans="1:11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1" ht="28.5" customHeight="1">
      <c r="A37" s="367" t="s">
        <v>189</v>
      </c>
      <c r="B37" s="367"/>
      <c r="C37" s="367"/>
      <c r="D37" s="367"/>
      <c r="E37" s="367"/>
      <c r="F37" s="367"/>
      <c r="G37" s="367"/>
      <c r="H37" s="149"/>
      <c r="I37" s="149"/>
      <c r="J37" s="149"/>
      <c r="K37" s="149"/>
    </row>
    <row r="39" spans="1:7" s="74" customFormat="1" ht="28.5">
      <c r="A39" s="105" t="s">
        <v>11</v>
      </c>
      <c r="B39" s="394" t="s">
        <v>45</v>
      </c>
      <c r="C39" s="405"/>
      <c r="D39" s="105" t="s">
        <v>170</v>
      </c>
      <c r="E39" s="105" t="s">
        <v>169</v>
      </c>
      <c r="F39" s="394" t="s">
        <v>46</v>
      </c>
      <c r="G39" s="405"/>
    </row>
    <row r="40" spans="1:7" s="115" customFormat="1" ht="15">
      <c r="A40" s="109" t="s">
        <v>47</v>
      </c>
      <c r="B40" s="396" t="s">
        <v>114</v>
      </c>
      <c r="C40" s="399"/>
      <c r="D40" s="111"/>
      <c r="E40" s="111"/>
      <c r="F40" s="411">
        <f>SUM(F41:G43)</f>
        <v>16918.3572</v>
      </c>
      <c r="G40" s="404"/>
    </row>
    <row r="41" spans="1:7" s="115" customFormat="1" ht="15">
      <c r="A41" s="34" t="s">
        <v>16</v>
      </c>
      <c r="B41" s="408" t="s">
        <v>656</v>
      </c>
      <c r="C41" s="409"/>
      <c r="D41" s="197" t="s">
        <v>248</v>
      </c>
      <c r="E41" s="197">
        <v>1</v>
      </c>
      <c r="F41" s="410">
        <v>12508</v>
      </c>
      <c r="G41" s="410"/>
    </row>
    <row r="42" spans="1:7" s="115" customFormat="1" ht="15">
      <c r="A42" s="34" t="s">
        <v>18</v>
      </c>
      <c r="B42" s="408" t="s">
        <v>657</v>
      </c>
      <c r="C42" s="409"/>
      <c r="D42" s="197" t="s">
        <v>240</v>
      </c>
      <c r="E42" s="197">
        <v>0.02</v>
      </c>
      <c r="F42" s="410">
        <v>3890.09</v>
      </c>
      <c r="G42" s="410"/>
    </row>
    <row r="43" spans="1:9" s="59" customFormat="1" ht="15">
      <c r="A43" s="34" t="s">
        <v>20</v>
      </c>
      <c r="B43" s="408" t="s">
        <v>198</v>
      </c>
      <c r="C43" s="409"/>
      <c r="D43" s="125"/>
      <c r="E43" s="125"/>
      <c r="F43" s="410">
        <f>E25*1%</f>
        <v>520.2672</v>
      </c>
      <c r="G43" s="410"/>
      <c r="H43" s="57"/>
      <c r="I43" s="57"/>
    </row>
    <row r="44" s="59" customFormat="1" ht="12.75"/>
    <row r="45" spans="1:11" s="59" customFormat="1" ht="15">
      <c r="A45" s="67" t="s">
        <v>55</v>
      </c>
      <c r="B45" s="67"/>
      <c r="C45" s="127" t="s">
        <v>49</v>
      </c>
      <c r="D45" s="67"/>
      <c r="E45" s="67"/>
      <c r="F45" s="67" t="s">
        <v>93</v>
      </c>
      <c r="G45" s="67"/>
      <c r="H45" s="67"/>
      <c r="I45" s="67"/>
      <c r="J45" s="67"/>
      <c r="K45" s="67"/>
    </row>
    <row r="46" spans="1:11" ht="15">
      <c r="A46" s="67"/>
      <c r="B46" s="67"/>
      <c r="C46" s="127"/>
      <c r="D46" s="67"/>
      <c r="E46" s="67"/>
      <c r="F46" s="128" t="s">
        <v>516</v>
      </c>
      <c r="G46" s="67"/>
      <c r="H46" s="59"/>
      <c r="I46" s="59"/>
      <c r="J46" s="59"/>
      <c r="K46" s="59"/>
    </row>
    <row r="47" spans="1:11" ht="15">
      <c r="A47" s="67" t="s">
        <v>50</v>
      </c>
      <c r="B47" s="67"/>
      <c r="C47" s="127"/>
      <c r="D47" s="67"/>
      <c r="E47" s="67"/>
      <c r="F47" s="67"/>
      <c r="G47" s="67"/>
      <c r="H47" s="158"/>
      <c r="I47" s="158"/>
      <c r="J47" s="158"/>
      <c r="K47" s="59"/>
    </row>
    <row r="48" spans="1:11" ht="15">
      <c r="A48" s="67"/>
      <c r="B48" s="129"/>
      <c r="C48" s="129" t="s">
        <v>51</v>
      </c>
      <c r="D48" s="130"/>
      <c r="E48" s="130"/>
      <c r="F48" s="67"/>
      <c r="G48" s="67"/>
      <c r="H48" s="158"/>
      <c r="I48" s="158"/>
      <c r="J48" s="158"/>
      <c r="K48" s="59"/>
    </row>
    <row r="49" spans="1:11" ht="15">
      <c r="A49" s="67"/>
      <c r="B49" s="129"/>
      <c r="C49" s="129"/>
      <c r="D49" s="130"/>
      <c r="E49" s="130"/>
      <c r="F49" s="67"/>
      <c r="G49" s="67"/>
      <c r="H49" s="158"/>
      <c r="I49" s="158"/>
      <c r="J49" s="158"/>
      <c r="K49" s="59"/>
    </row>
  </sheetData>
  <sheetProtection/>
  <mergeCells count="20">
    <mergeCell ref="A32:F32"/>
    <mergeCell ref="A33:C33"/>
    <mergeCell ref="B39:C39"/>
    <mergeCell ref="F39:G39"/>
    <mergeCell ref="B43:C43"/>
    <mergeCell ref="F43:G43"/>
    <mergeCell ref="B40:C40"/>
    <mergeCell ref="F40:G40"/>
    <mergeCell ref="A37:G37"/>
    <mergeCell ref="B41:C41"/>
    <mergeCell ref="B42:C42"/>
    <mergeCell ref="F41:G41"/>
    <mergeCell ref="F42:G42"/>
    <mergeCell ref="A11:I11"/>
    <mergeCell ref="A10:I10"/>
    <mergeCell ref="A1:I1"/>
    <mergeCell ref="A2:I2"/>
    <mergeCell ref="A3:I3"/>
    <mergeCell ref="A5:I5"/>
    <mergeCell ref="A9:I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7030A0"/>
  </sheetPr>
  <dimension ref="A1:K48"/>
  <sheetViews>
    <sheetView zoomScalePageLayoutView="0" workbookViewId="0" topLeftCell="A22">
      <selection activeCell="G35" sqref="G35"/>
    </sheetView>
  </sheetViews>
  <sheetFormatPr defaultColWidth="9.140625" defaultRowHeight="15" outlineLevelCol="1"/>
  <cols>
    <col min="1" max="1" width="6.00390625" style="57" customWidth="1"/>
    <col min="2" max="2" width="52.140625" style="57" customWidth="1"/>
    <col min="3" max="3" width="12.28125" style="57" customWidth="1"/>
    <col min="4" max="4" width="14.8515625" style="57" customWidth="1"/>
    <col min="5" max="5" width="12.57421875" style="57" customWidth="1"/>
    <col min="6" max="6" width="15.00390625" style="57" customWidth="1"/>
    <col min="7" max="7" width="14.57421875" style="57" customWidth="1"/>
    <col min="8" max="9" width="11.57421875" style="57" hidden="1" customWidth="1" outlineLevel="1"/>
    <col min="10" max="10" width="10.00390625" style="57" bestFit="1" customWidth="1" collapsed="1"/>
    <col min="11" max="11" width="15.8515625" style="57" customWidth="1"/>
    <col min="12" max="16384" width="9.140625" style="57" customWidth="1"/>
  </cols>
  <sheetData>
    <row r="1" spans="1:9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</row>
    <row r="2" spans="1:9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</row>
    <row r="3" spans="1:9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</row>
    <row r="7" spans="1:8" s="59" customFormat="1" ht="16.5" customHeight="1">
      <c r="A7" s="59" t="s">
        <v>2</v>
      </c>
      <c r="F7" s="60" t="s">
        <v>165</v>
      </c>
      <c r="H7" s="60"/>
    </row>
    <row r="8" spans="1:8" s="59" customFormat="1" ht="12.75">
      <c r="A8" s="59" t="s">
        <v>3</v>
      </c>
      <c r="F8" s="310" t="s">
        <v>166</v>
      </c>
      <c r="H8" s="60"/>
    </row>
    <row r="9" spans="1:9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</row>
    <row r="10" spans="1:9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</row>
    <row r="11" spans="1:9" s="59" customFormat="1" ht="15.75" customHeight="1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'[1]Дорожная 11 корп2'!$G$36</f>
        <v>109465.0214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1" s="59" customFormat="1" ht="14.25">
      <c r="A16" s="75" t="s">
        <v>14</v>
      </c>
      <c r="B16" s="41" t="s">
        <v>15</v>
      </c>
      <c r="C16" s="46">
        <f>C17+C18+C19+C20</f>
        <v>9.34</v>
      </c>
      <c r="D16" s="76">
        <v>319528.68</v>
      </c>
      <c r="E16" s="76">
        <v>320954.89</v>
      </c>
      <c r="F16" s="76">
        <f aca="true" t="shared" si="0" ref="F16:F22">D16</f>
        <v>319528.68</v>
      </c>
      <c r="G16" s="77">
        <f>D16-E16</f>
        <v>-1426.210000000021</v>
      </c>
      <c r="H16" s="78">
        <f aca="true" t="shared" si="1" ref="H16:H21">C16</f>
        <v>9.34</v>
      </c>
      <c r="J16" s="78"/>
      <c r="K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118369.29687366167</v>
      </c>
      <c r="E17" s="83">
        <f>E16*I17</f>
        <v>118897.63591006426</v>
      </c>
      <c r="F17" s="83">
        <f t="shared" si="0"/>
        <v>118369.29687366167</v>
      </c>
      <c r="G17" s="84">
        <f>D17-E17</f>
        <v>-528.3390364025836</v>
      </c>
      <c r="H17" s="78">
        <f t="shared" si="1"/>
        <v>3.46</v>
      </c>
      <c r="I17" s="59">
        <f>H17/H16</f>
        <v>0.37044967880085655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57816.217259100646</v>
      </c>
      <c r="E18" s="83">
        <f>E16*I18</f>
        <v>58074.27881156317</v>
      </c>
      <c r="F18" s="83">
        <f t="shared" si="0"/>
        <v>57816.217259100646</v>
      </c>
      <c r="G18" s="84">
        <f>D18-E18</f>
        <v>-258.06155246252456</v>
      </c>
      <c r="H18" s="78">
        <f t="shared" si="1"/>
        <v>1.69</v>
      </c>
      <c r="I18" s="59">
        <f>H18/H16</f>
        <v>0.1809421841541756</v>
      </c>
    </row>
    <row r="19" spans="1:9" s="59" customFormat="1" ht="15">
      <c r="A19" s="81" t="s">
        <v>20</v>
      </c>
      <c r="B19" s="34" t="s">
        <v>21</v>
      </c>
      <c r="C19" s="85">
        <v>1.15</v>
      </c>
      <c r="D19" s="83">
        <f>D16*I19</f>
        <v>39342.396359743034</v>
      </c>
      <c r="E19" s="83">
        <f>E16*I19</f>
        <v>39518.00037473233</v>
      </c>
      <c r="F19" s="83">
        <f t="shared" si="0"/>
        <v>39342.396359743034</v>
      </c>
      <c r="G19" s="84">
        <f>D19-E19</f>
        <v>-175.60401498929423</v>
      </c>
      <c r="H19" s="78">
        <f t="shared" si="1"/>
        <v>1.15</v>
      </c>
      <c r="I19" s="59">
        <f>H19/H16</f>
        <v>0.12312633832976444</v>
      </c>
    </row>
    <row r="20" spans="1:9" s="59" customFormat="1" ht="15">
      <c r="A20" s="81" t="s">
        <v>22</v>
      </c>
      <c r="B20" s="34" t="s">
        <v>23</v>
      </c>
      <c r="C20" s="85">
        <v>3.04</v>
      </c>
      <c r="D20" s="83">
        <f>D16*I20</f>
        <v>104000.76950749465</v>
      </c>
      <c r="E20" s="83">
        <f>E16*I20</f>
        <v>104464.97490364026</v>
      </c>
      <c r="F20" s="83">
        <f t="shared" si="0"/>
        <v>104000.76950749465</v>
      </c>
      <c r="G20" s="84">
        <f>D20-E20</f>
        <v>-464.2053961456113</v>
      </c>
      <c r="H20" s="78">
        <f t="shared" si="1"/>
        <v>3.04</v>
      </c>
      <c r="I20" s="59">
        <f>H20/H16</f>
        <v>0.32548179871520344</v>
      </c>
    </row>
    <row r="21" spans="1:8" s="59" customFormat="1" ht="15">
      <c r="A21" s="81" t="s">
        <v>24</v>
      </c>
      <c r="B21" s="34" t="s">
        <v>190</v>
      </c>
      <c r="C21" s="97">
        <v>2.51</v>
      </c>
      <c r="D21" s="76">
        <v>86752.08</v>
      </c>
      <c r="E21" s="76">
        <v>87328.56</v>
      </c>
      <c r="F21" s="76">
        <f t="shared" si="0"/>
        <v>86752.08</v>
      </c>
      <c r="G21" s="77">
        <f aca="true" t="shared" si="2" ref="G21:G31">D21-E21</f>
        <v>-576.4799999999959</v>
      </c>
      <c r="H21" s="78">
        <f t="shared" si="1"/>
        <v>2.51</v>
      </c>
    </row>
    <row r="22" spans="1:7" s="89" customFormat="1" ht="14.25">
      <c r="A22" s="86" t="s">
        <v>25</v>
      </c>
      <c r="B22" s="86" t="s">
        <v>26</v>
      </c>
      <c r="C22" s="46">
        <v>3.86</v>
      </c>
      <c r="D22" s="87">
        <v>131797.92</v>
      </c>
      <c r="E22" s="87">
        <v>132598.97</v>
      </c>
      <c r="F22" s="87">
        <f t="shared" si="0"/>
        <v>131797.92</v>
      </c>
      <c r="G22" s="77">
        <f t="shared" si="2"/>
        <v>-801.0499999999884</v>
      </c>
    </row>
    <row r="23" spans="1:7" s="89" customFormat="1" ht="14.25">
      <c r="A23" s="86" t="s">
        <v>27</v>
      </c>
      <c r="B23" s="86" t="s">
        <v>28</v>
      </c>
      <c r="C23" s="46"/>
      <c r="D23" s="87">
        <v>0</v>
      </c>
      <c r="E23" s="87">
        <v>0</v>
      </c>
      <c r="F23" s="87">
        <f>D23</f>
        <v>0</v>
      </c>
      <c r="G23" s="77">
        <f t="shared" si="2"/>
        <v>0</v>
      </c>
    </row>
    <row r="24" spans="1:7" s="89" customFormat="1" ht="14.25">
      <c r="A24" s="86" t="s">
        <v>29</v>
      </c>
      <c r="B24" s="86" t="s">
        <v>168</v>
      </c>
      <c r="C24" s="46">
        <v>12.54</v>
      </c>
      <c r="D24" s="90">
        <v>0</v>
      </c>
      <c r="E24" s="90">
        <v>0</v>
      </c>
      <c r="F24" s="90">
        <f>D24</f>
        <v>0</v>
      </c>
      <c r="G24" s="77">
        <f t="shared" si="2"/>
        <v>0</v>
      </c>
    </row>
    <row r="25" spans="1:7" s="89" customFormat="1" ht="14.25">
      <c r="A25" s="86" t="s">
        <v>31</v>
      </c>
      <c r="B25" s="86" t="s">
        <v>119</v>
      </c>
      <c r="C25" s="95">
        <v>1.66</v>
      </c>
      <c r="D25" s="87">
        <v>56797.6</v>
      </c>
      <c r="E25" s="87">
        <v>57148.32</v>
      </c>
      <c r="F25" s="87">
        <f>F40</f>
        <v>3903.9532</v>
      </c>
      <c r="G25" s="77">
        <f t="shared" si="2"/>
        <v>-350.72000000000116</v>
      </c>
    </row>
    <row r="26" spans="1:7" ht="14.25">
      <c r="A26" s="41" t="s">
        <v>33</v>
      </c>
      <c r="B26" s="41" t="s">
        <v>34</v>
      </c>
      <c r="C26" s="97">
        <v>0</v>
      </c>
      <c r="D26" s="77">
        <v>0</v>
      </c>
      <c r="E26" s="77">
        <v>0</v>
      </c>
      <c r="F26" s="87">
        <v>0</v>
      </c>
      <c r="G26" s="77">
        <f t="shared" si="2"/>
        <v>0</v>
      </c>
    </row>
    <row r="27" spans="1:7" ht="14.25">
      <c r="A27" s="41" t="s">
        <v>35</v>
      </c>
      <c r="B27" s="41" t="s">
        <v>36</v>
      </c>
      <c r="C27" s="97">
        <v>0</v>
      </c>
      <c r="D27" s="77">
        <f>SUM(D28:D31)</f>
        <v>362018.62</v>
      </c>
      <c r="E27" s="77">
        <f>SUM(E28:E31)</f>
        <v>366170.08</v>
      </c>
      <c r="F27" s="77">
        <f>SUM(F28:F31)</f>
        <v>362018.62</v>
      </c>
      <c r="G27" s="77">
        <f t="shared" si="2"/>
        <v>-4151.460000000021</v>
      </c>
    </row>
    <row r="28" spans="1:7" ht="15">
      <c r="A28" s="34" t="s">
        <v>37</v>
      </c>
      <c r="B28" s="34" t="s">
        <v>172</v>
      </c>
      <c r="C28" s="293" t="s">
        <v>379</v>
      </c>
      <c r="D28" s="84">
        <v>53662.97</v>
      </c>
      <c r="E28" s="84">
        <v>54213.49</v>
      </c>
      <c r="F28" s="84">
        <f>D28</f>
        <v>53662.97</v>
      </c>
      <c r="G28" s="84">
        <f t="shared" si="2"/>
        <v>-550.5199999999968</v>
      </c>
    </row>
    <row r="29" spans="1:7" ht="15">
      <c r="A29" s="34" t="s">
        <v>39</v>
      </c>
      <c r="B29" s="34" t="s">
        <v>142</v>
      </c>
      <c r="C29" s="293" t="s">
        <v>382</v>
      </c>
      <c r="D29" s="84">
        <v>308355.65</v>
      </c>
      <c r="E29" s="84">
        <v>311956.59</v>
      </c>
      <c r="F29" s="84">
        <f>D29</f>
        <v>308355.65</v>
      </c>
      <c r="G29" s="84">
        <f t="shared" si="2"/>
        <v>-3600.9400000000023</v>
      </c>
    </row>
    <row r="30" spans="1:7" ht="15">
      <c r="A30" s="34" t="s">
        <v>42</v>
      </c>
      <c r="B30" s="34" t="s">
        <v>143</v>
      </c>
      <c r="C30" s="145">
        <v>0</v>
      </c>
      <c r="D30" s="84">
        <v>0</v>
      </c>
      <c r="E30" s="84">
        <v>0</v>
      </c>
      <c r="F30" s="84">
        <f>D30</f>
        <v>0</v>
      </c>
      <c r="G30" s="84">
        <f t="shared" si="2"/>
        <v>0</v>
      </c>
    </row>
    <row r="31" spans="1:7" ht="15">
      <c r="A31" s="34" t="s">
        <v>41</v>
      </c>
      <c r="B31" s="34" t="s">
        <v>43</v>
      </c>
      <c r="C31" s="99">
        <v>0</v>
      </c>
      <c r="D31" s="84">
        <v>0</v>
      </c>
      <c r="E31" s="84">
        <v>0</v>
      </c>
      <c r="F31" s="84">
        <f>D31</f>
        <v>0</v>
      </c>
      <c r="G31" s="84">
        <f t="shared" si="2"/>
        <v>0</v>
      </c>
    </row>
    <row r="32" spans="1:9" s="102" customFormat="1" ht="15.75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</row>
    <row r="33" spans="1:9" s="67" customFormat="1" ht="15.75" thickBot="1">
      <c r="A33" s="378" t="s">
        <v>383</v>
      </c>
      <c r="B33" s="379"/>
      <c r="C33" s="379"/>
      <c r="D33" s="65">
        <v>96384.54</v>
      </c>
      <c r="E33" s="66"/>
      <c r="F33" s="66"/>
      <c r="G33" s="66"/>
      <c r="H33" s="62"/>
      <c r="I33" s="62"/>
    </row>
    <row r="34" spans="1:9" s="67" customFormat="1" ht="15.75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387</v>
      </c>
      <c r="B35" s="64"/>
      <c r="C35" s="64"/>
      <c r="D35" s="69"/>
      <c r="E35" s="70"/>
      <c r="F35" s="70"/>
      <c r="G35" s="146">
        <f>G13+E25-F25</f>
        <v>162709.38820000002</v>
      </c>
      <c r="H35" s="62"/>
      <c r="I35" s="62"/>
    </row>
    <row r="36" spans="1:9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</row>
    <row r="37" spans="1:9" ht="26.25" customHeight="1">
      <c r="A37" s="367" t="s">
        <v>189</v>
      </c>
      <c r="B37" s="367"/>
      <c r="C37" s="367"/>
      <c r="D37" s="367"/>
      <c r="E37" s="367"/>
      <c r="F37" s="367"/>
      <c r="G37" s="367"/>
      <c r="H37" s="149"/>
      <c r="I37" s="149"/>
    </row>
    <row r="39" spans="1:7" s="74" customFormat="1" ht="28.5">
      <c r="A39" s="105" t="s">
        <v>11</v>
      </c>
      <c r="B39" s="394" t="s">
        <v>45</v>
      </c>
      <c r="C39" s="405"/>
      <c r="D39" s="105" t="s">
        <v>170</v>
      </c>
      <c r="E39" s="105" t="s">
        <v>169</v>
      </c>
      <c r="F39" s="394" t="s">
        <v>46</v>
      </c>
      <c r="G39" s="405"/>
    </row>
    <row r="40" spans="1:7" s="115" customFormat="1" ht="15">
      <c r="A40" s="109" t="s">
        <v>47</v>
      </c>
      <c r="B40" s="396" t="s">
        <v>114</v>
      </c>
      <c r="C40" s="399"/>
      <c r="D40" s="111"/>
      <c r="E40" s="111"/>
      <c r="F40" s="411">
        <f>SUM(F41:G43)</f>
        <v>3903.9532</v>
      </c>
      <c r="G40" s="404"/>
    </row>
    <row r="41" spans="1:7" ht="15">
      <c r="A41" s="34" t="s">
        <v>16</v>
      </c>
      <c r="B41" s="369" t="s">
        <v>658</v>
      </c>
      <c r="C41" s="371"/>
      <c r="D41" s="119" t="s">
        <v>241</v>
      </c>
      <c r="E41" s="119">
        <v>0.03</v>
      </c>
      <c r="F41" s="420">
        <v>2349.22</v>
      </c>
      <c r="G41" s="421"/>
    </row>
    <row r="42" spans="1:7" ht="15">
      <c r="A42" s="34" t="s">
        <v>18</v>
      </c>
      <c r="B42" s="369" t="s">
        <v>659</v>
      </c>
      <c r="C42" s="371"/>
      <c r="D42" s="119" t="s">
        <v>241</v>
      </c>
      <c r="E42" s="119">
        <v>0.01</v>
      </c>
      <c r="F42" s="420">
        <v>983.25</v>
      </c>
      <c r="G42" s="421"/>
    </row>
    <row r="43" spans="1:7" ht="15">
      <c r="A43" s="34" t="s">
        <v>20</v>
      </c>
      <c r="B43" s="408" t="s">
        <v>198</v>
      </c>
      <c r="C43" s="409"/>
      <c r="D43" s="125"/>
      <c r="E43" s="125"/>
      <c r="F43" s="410">
        <f>E25*1%</f>
        <v>571.4832</v>
      </c>
      <c r="G43" s="410"/>
    </row>
    <row r="44" spans="1:7" ht="15">
      <c r="A44" s="170"/>
      <c r="B44" s="93"/>
      <c r="C44" s="93"/>
      <c r="D44" s="266"/>
      <c r="E44" s="266"/>
      <c r="F44" s="183"/>
      <c r="G44" s="183"/>
    </row>
    <row r="45" spans="1:7" ht="15">
      <c r="A45" s="67" t="s">
        <v>55</v>
      </c>
      <c r="B45" s="67"/>
      <c r="C45" s="127" t="s">
        <v>49</v>
      </c>
      <c r="D45" s="67"/>
      <c r="E45" s="67"/>
      <c r="F45" s="67" t="s">
        <v>93</v>
      </c>
      <c r="G45" s="67"/>
    </row>
    <row r="46" spans="1:7" ht="15">
      <c r="A46" s="67"/>
      <c r="B46" s="67"/>
      <c r="C46" s="127"/>
      <c r="D46" s="67"/>
      <c r="E46" s="67"/>
      <c r="F46" s="128" t="s">
        <v>516</v>
      </c>
      <c r="G46" s="67"/>
    </row>
    <row r="47" spans="1:7" ht="15">
      <c r="A47" s="67" t="s">
        <v>50</v>
      </c>
      <c r="B47" s="67"/>
      <c r="C47" s="127"/>
      <c r="D47" s="67"/>
      <c r="E47" s="67"/>
      <c r="F47" s="67"/>
      <c r="G47" s="67"/>
    </row>
    <row r="48" spans="1:7" ht="15">
      <c r="A48" s="67"/>
      <c r="B48" s="67"/>
      <c r="C48" s="129" t="s">
        <v>51</v>
      </c>
      <c r="D48" s="67"/>
      <c r="E48" s="130"/>
      <c r="F48" s="130"/>
      <c r="G48" s="130"/>
    </row>
  </sheetData>
  <sheetProtection/>
  <mergeCells count="20">
    <mergeCell ref="B43:C43"/>
    <mergeCell ref="F43:G43"/>
    <mergeCell ref="B41:C41"/>
    <mergeCell ref="F41:G41"/>
    <mergeCell ref="A10:I10"/>
    <mergeCell ref="A11:I11"/>
    <mergeCell ref="A33:C33"/>
    <mergeCell ref="A37:G37"/>
    <mergeCell ref="B39:C39"/>
    <mergeCell ref="A32:F32"/>
    <mergeCell ref="B42:C42"/>
    <mergeCell ref="F42:G42"/>
    <mergeCell ref="B40:C40"/>
    <mergeCell ref="F40:G40"/>
    <mergeCell ref="F39:G39"/>
    <mergeCell ref="A1:I1"/>
    <mergeCell ref="A2:I2"/>
    <mergeCell ref="A3:I3"/>
    <mergeCell ref="A5:I5"/>
    <mergeCell ref="A9:I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7030A0"/>
  </sheetPr>
  <dimension ref="A1:J53"/>
  <sheetViews>
    <sheetView zoomScalePageLayoutView="0" workbookViewId="0" topLeftCell="A16">
      <selection activeCell="G34" sqref="G34"/>
    </sheetView>
  </sheetViews>
  <sheetFormatPr defaultColWidth="9.140625" defaultRowHeight="15" outlineLevelCol="1"/>
  <cols>
    <col min="1" max="1" width="5.57421875" style="57" customWidth="1"/>
    <col min="2" max="2" width="51.8515625" style="57" customWidth="1"/>
    <col min="3" max="3" width="15.7109375" style="57" customWidth="1"/>
    <col min="4" max="4" width="14.8515625" style="57" customWidth="1"/>
    <col min="5" max="5" width="13.28125" style="57" customWidth="1"/>
    <col min="6" max="6" width="12.8515625" style="57" customWidth="1"/>
    <col min="7" max="7" width="14.57421875" style="57" customWidth="1"/>
    <col min="8" max="9" width="11.57421875" style="57" hidden="1" customWidth="1" outlineLevel="1"/>
    <col min="10" max="10" width="15.8515625" style="57" customWidth="1" collapsed="1"/>
    <col min="11" max="16384" width="9.140625" style="57" customWidth="1"/>
  </cols>
  <sheetData>
    <row r="1" spans="1:9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</row>
    <row r="2" spans="1:9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</row>
    <row r="3" spans="1:9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</row>
    <row r="7" spans="1:8" s="59" customFormat="1" ht="16.5" customHeight="1">
      <c r="A7" s="59" t="s">
        <v>2</v>
      </c>
      <c r="F7" s="60" t="s">
        <v>243</v>
      </c>
      <c r="H7" s="60"/>
    </row>
    <row r="8" spans="1:8" s="59" customFormat="1" ht="12.75">
      <c r="A8" s="59" t="s">
        <v>3</v>
      </c>
      <c r="F8" s="310" t="s">
        <v>304</v>
      </c>
      <c r="H8" s="60"/>
    </row>
    <row r="9" spans="1:9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</row>
    <row r="10" spans="1:9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</row>
    <row r="11" spans="1:9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313</v>
      </c>
      <c r="B13" s="64"/>
      <c r="C13" s="64"/>
      <c r="D13" s="69"/>
      <c r="E13" s="70"/>
      <c r="F13" s="70"/>
      <c r="G13" s="65">
        <f>'[1]Моторная 30А'!$G$35</f>
        <v>2308.4522999999917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0" s="59" customFormat="1" ht="14.25">
      <c r="A16" s="75" t="s">
        <v>14</v>
      </c>
      <c r="B16" s="41" t="s">
        <v>15</v>
      </c>
      <c r="C16" s="202">
        <f>C17+C18+C19+C20</f>
        <v>9.879999999999999</v>
      </c>
      <c r="D16" s="76">
        <v>341440.09</v>
      </c>
      <c r="E16" s="76">
        <v>299807.65</v>
      </c>
      <c r="F16" s="76">
        <f>D16</f>
        <v>341440.09</v>
      </c>
      <c r="G16" s="77">
        <f>D16-E16</f>
        <v>41632.44</v>
      </c>
      <c r="H16" s="78">
        <f>C16</f>
        <v>9.879999999999999</v>
      </c>
      <c r="I16" s="79"/>
      <c r="J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119573.14892712553</v>
      </c>
      <c r="E17" s="83">
        <f>E16*I17</f>
        <v>104993.36730769233</v>
      </c>
      <c r="F17" s="83">
        <f>D17</f>
        <v>119573.14892712553</v>
      </c>
      <c r="G17" s="84">
        <f>D17-E17</f>
        <v>14579.781619433197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58404.22592105264</v>
      </c>
      <c r="E18" s="83">
        <f>E16*I18</f>
        <v>51282.887500000004</v>
      </c>
      <c r="F18" s="83">
        <f>D18</f>
        <v>58404.22592105264</v>
      </c>
      <c r="G18" s="84">
        <f>D18-E18</f>
        <v>7121.338421052635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58404.22592105264</v>
      </c>
      <c r="E19" s="83">
        <f>E16*I19</f>
        <v>51282.887500000004</v>
      </c>
      <c r="F19" s="83">
        <f>D19</f>
        <v>58404.22592105264</v>
      </c>
      <c r="G19" s="84">
        <f>D19-E19</f>
        <v>7121.338421052635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105058.48923076925</v>
      </c>
      <c r="E20" s="83">
        <f>E16*I20</f>
        <v>92248.5076923077</v>
      </c>
      <c r="F20" s="83">
        <f>D20</f>
        <v>105058.48923076925</v>
      </c>
      <c r="G20" s="84">
        <f>D20-E20</f>
        <v>12809.98153846155</v>
      </c>
      <c r="H20" s="78">
        <f>C20</f>
        <v>3.04</v>
      </c>
      <c r="I20" s="59">
        <f>H20/H16</f>
        <v>0.3076923076923077</v>
      </c>
    </row>
    <row r="21" spans="1:9" s="89" customFormat="1" ht="14.25">
      <c r="A21" s="86" t="s">
        <v>25</v>
      </c>
      <c r="B21" s="86" t="s">
        <v>26</v>
      </c>
      <c r="C21" s="8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</row>
    <row r="22" spans="1:9" s="89" customFormat="1" ht="14.25">
      <c r="A22" s="86" t="s">
        <v>27</v>
      </c>
      <c r="B22" s="86" t="s">
        <v>28</v>
      </c>
      <c r="C22" s="8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</row>
    <row r="23" spans="1:9" s="89" customFormat="1" ht="14.25">
      <c r="A23" s="86" t="s">
        <v>29</v>
      </c>
      <c r="B23" s="86" t="s">
        <v>30</v>
      </c>
      <c r="C23" s="87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</row>
    <row r="24" spans="1:9" s="89" customFormat="1" ht="14.25">
      <c r="A24" s="86" t="s">
        <v>31</v>
      </c>
      <c r="B24" s="86" t="s">
        <v>119</v>
      </c>
      <c r="C24" s="267">
        <v>1.86</v>
      </c>
      <c r="D24" s="87">
        <v>59017.52</v>
      </c>
      <c r="E24" s="87">
        <v>56679.15</v>
      </c>
      <c r="F24" s="87">
        <f>F39</f>
        <v>49508.5915</v>
      </c>
      <c r="G24" s="77">
        <f t="shared" si="0"/>
        <v>2338.3699999999953</v>
      </c>
      <c r="H24" s="88"/>
      <c r="I24" s="88"/>
    </row>
    <row r="25" spans="1:9" ht="14.25">
      <c r="A25" s="41" t="s">
        <v>33</v>
      </c>
      <c r="B25" s="41" t="s">
        <v>168</v>
      </c>
      <c r="C25" s="77" t="s">
        <v>395</v>
      </c>
      <c r="D25" s="77"/>
      <c r="E25" s="77"/>
      <c r="F25" s="87">
        <f>D25</f>
        <v>0</v>
      </c>
      <c r="G25" s="77">
        <f t="shared" si="0"/>
        <v>0</v>
      </c>
      <c r="H25" s="98"/>
      <c r="I25" s="98"/>
    </row>
    <row r="26" spans="1:9" ht="14.25">
      <c r="A26" s="41" t="s">
        <v>35</v>
      </c>
      <c r="B26" s="41" t="s">
        <v>36</v>
      </c>
      <c r="C26" s="77"/>
      <c r="D26" s="77">
        <f>SUM(D27:D30)</f>
        <v>1351588.31</v>
      </c>
      <c r="E26" s="77">
        <f>SUM(E27:E30)</f>
        <v>1309863.64</v>
      </c>
      <c r="F26" s="77">
        <f>SUM(F27:F30)</f>
        <v>1351588.31</v>
      </c>
      <c r="G26" s="77">
        <f t="shared" si="0"/>
        <v>41724.67000000016</v>
      </c>
      <c r="H26" s="98"/>
      <c r="I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27418.56</v>
      </c>
      <c r="E27" s="84">
        <v>26348.18</v>
      </c>
      <c r="F27" s="84">
        <f>D27</f>
        <v>27418.56</v>
      </c>
      <c r="G27" s="84">
        <f t="shared" si="0"/>
        <v>1070.380000000001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292773.49</v>
      </c>
      <c r="E28" s="84">
        <v>288090.14</v>
      </c>
      <c r="F28" s="84">
        <f>D28</f>
        <v>292773.49</v>
      </c>
      <c r="G28" s="84">
        <f t="shared" si="0"/>
        <v>4683.349999999977</v>
      </c>
    </row>
    <row r="29" spans="1:7" ht="15">
      <c r="A29" s="34" t="s">
        <v>42</v>
      </c>
      <c r="B29" s="34" t="s">
        <v>143</v>
      </c>
      <c r="C29" s="294"/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1031396.26</v>
      </c>
      <c r="E30" s="84">
        <v>995425.32</v>
      </c>
      <c r="F30" s="84">
        <f>D30</f>
        <v>1031396.26</v>
      </c>
      <c r="G30" s="84">
        <f t="shared" si="0"/>
        <v>35970.94000000006</v>
      </c>
    </row>
    <row r="31" spans="1:9" s="102" customFormat="1" ht="18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414707.47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9479.01079999999</v>
      </c>
      <c r="H34" s="62"/>
      <c r="I34" s="62"/>
    </row>
    <row r="35" spans="1:9" s="102" customFormat="1" ht="13.5">
      <c r="A35" s="104"/>
      <c r="B35" s="104"/>
      <c r="C35" s="104"/>
      <c r="D35" s="104"/>
      <c r="E35" s="101"/>
      <c r="F35" s="101"/>
      <c r="G35" s="101"/>
      <c r="H35" s="101"/>
      <c r="I35" s="101"/>
    </row>
    <row r="36" spans="1:9" s="102" customFormat="1" ht="27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</row>
    <row r="38" spans="1:7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</row>
    <row r="39" spans="1:7" s="74" customFormat="1" ht="15">
      <c r="A39" s="109" t="s">
        <v>47</v>
      </c>
      <c r="B39" s="396" t="s">
        <v>114</v>
      </c>
      <c r="C39" s="399"/>
      <c r="D39" s="111"/>
      <c r="E39" s="111"/>
      <c r="F39" s="411">
        <f>SUM(F40:G48)</f>
        <v>49508.5915</v>
      </c>
      <c r="G39" s="404"/>
    </row>
    <row r="40" spans="1:7" s="115" customFormat="1" ht="15">
      <c r="A40" s="34" t="s">
        <v>16</v>
      </c>
      <c r="B40" s="369" t="s">
        <v>305</v>
      </c>
      <c r="C40" s="371"/>
      <c r="D40" s="119" t="s">
        <v>240</v>
      </c>
      <c r="E40" s="122">
        <v>0.015</v>
      </c>
      <c r="F40" s="420">
        <v>796.8</v>
      </c>
      <c r="G40" s="421"/>
    </row>
    <row r="41" spans="1:7" s="115" customFormat="1" ht="15">
      <c r="A41" s="34" t="s">
        <v>20</v>
      </c>
      <c r="B41" s="369" t="s">
        <v>747</v>
      </c>
      <c r="C41" s="415"/>
      <c r="D41" s="119" t="s">
        <v>248</v>
      </c>
      <c r="E41" s="122">
        <v>1</v>
      </c>
      <c r="F41" s="420">
        <v>415</v>
      </c>
      <c r="G41" s="421"/>
    </row>
    <row r="42" spans="1:7" s="59" customFormat="1" ht="15">
      <c r="A42" s="34" t="s">
        <v>22</v>
      </c>
      <c r="B42" s="369" t="s">
        <v>747</v>
      </c>
      <c r="C42" s="415"/>
      <c r="D42" s="119" t="s">
        <v>248</v>
      </c>
      <c r="E42" s="122">
        <v>1</v>
      </c>
      <c r="F42" s="420">
        <v>240</v>
      </c>
      <c r="G42" s="421"/>
    </row>
    <row r="43" spans="1:7" s="59" customFormat="1" ht="15">
      <c r="A43" s="34" t="s">
        <v>24</v>
      </c>
      <c r="B43" s="369" t="s">
        <v>812</v>
      </c>
      <c r="C43" s="415"/>
      <c r="D43" s="119"/>
      <c r="E43" s="122"/>
      <c r="F43" s="420">
        <v>13000</v>
      </c>
      <c r="G43" s="421"/>
    </row>
    <row r="44" spans="1:7" s="59" customFormat="1" ht="15">
      <c r="A44" s="34" t="s">
        <v>106</v>
      </c>
      <c r="B44" s="369" t="s">
        <v>789</v>
      </c>
      <c r="C44" s="415"/>
      <c r="D44" s="119"/>
      <c r="E44" s="122"/>
      <c r="F44" s="420">
        <v>12000</v>
      </c>
      <c r="G44" s="421"/>
    </row>
    <row r="45" spans="1:7" s="59" customFormat="1" ht="15">
      <c r="A45" s="34" t="s">
        <v>107</v>
      </c>
      <c r="B45" s="117" t="s">
        <v>790</v>
      </c>
      <c r="C45" s="359"/>
      <c r="D45" s="119"/>
      <c r="E45" s="122"/>
      <c r="F45" s="420">
        <v>1190</v>
      </c>
      <c r="G45" s="421"/>
    </row>
    <row r="46" spans="1:7" s="59" customFormat="1" ht="15">
      <c r="A46" s="34" t="s">
        <v>120</v>
      </c>
      <c r="B46" s="369" t="s">
        <v>793</v>
      </c>
      <c r="C46" s="415"/>
      <c r="D46" s="119"/>
      <c r="E46" s="122"/>
      <c r="F46" s="420">
        <v>18000</v>
      </c>
      <c r="G46" s="421"/>
    </row>
    <row r="47" spans="1:7" s="59" customFormat="1" ht="15">
      <c r="A47" s="34" t="s">
        <v>121</v>
      </c>
      <c r="B47" s="369" t="s">
        <v>804</v>
      </c>
      <c r="C47" s="415"/>
      <c r="D47" s="119"/>
      <c r="E47" s="122"/>
      <c r="F47" s="420">
        <v>3300</v>
      </c>
      <c r="G47" s="421"/>
    </row>
    <row r="48" spans="1:7" ht="15">
      <c r="A48" s="34" t="s">
        <v>122</v>
      </c>
      <c r="B48" s="408" t="s">
        <v>198</v>
      </c>
      <c r="C48" s="409"/>
      <c r="D48" s="125"/>
      <c r="E48" s="125"/>
      <c r="F48" s="410">
        <f>E24*1%</f>
        <v>566.7915</v>
      </c>
      <c r="G48" s="410"/>
    </row>
    <row r="49" spans="1:7" ht="12.75">
      <c r="A49" s="59"/>
      <c r="B49" s="59"/>
      <c r="C49" s="59"/>
      <c r="D49" s="59"/>
      <c r="E49" s="59"/>
      <c r="F49" s="59"/>
      <c r="G49" s="59"/>
    </row>
    <row r="50" spans="1:7" ht="15">
      <c r="A50" s="67" t="s">
        <v>55</v>
      </c>
      <c r="B50" s="67"/>
      <c r="C50" s="127" t="s">
        <v>49</v>
      </c>
      <c r="D50" s="67"/>
      <c r="E50" s="67"/>
      <c r="F50" s="67" t="s">
        <v>93</v>
      </c>
      <c r="G50" s="67"/>
    </row>
    <row r="51" spans="1:7" ht="15">
      <c r="A51" s="67"/>
      <c r="B51" s="67"/>
      <c r="C51" s="127"/>
      <c r="D51" s="67"/>
      <c r="E51" s="67"/>
      <c r="F51" s="128" t="s">
        <v>516</v>
      </c>
      <c r="G51" s="67"/>
    </row>
    <row r="52" spans="1:7" ht="15">
      <c r="A52" s="67" t="s">
        <v>50</v>
      </c>
      <c r="B52" s="67"/>
      <c r="C52" s="127"/>
      <c r="D52" s="67"/>
      <c r="E52" s="67"/>
      <c r="F52" s="67"/>
      <c r="G52" s="67"/>
    </row>
    <row r="53" spans="1:7" ht="15">
      <c r="A53" s="67"/>
      <c r="B53" s="67"/>
      <c r="C53" s="129" t="s">
        <v>51</v>
      </c>
      <c r="D53" s="67"/>
      <c r="E53" s="130"/>
      <c r="F53" s="130"/>
      <c r="G53" s="130"/>
    </row>
  </sheetData>
  <sheetProtection/>
  <mergeCells count="31">
    <mergeCell ref="B48:C48"/>
    <mergeCell ref="F48:G48"/>
    <mergeCell ref="B42:C42"/>
    <mergeCell ref="F42:G42"/>
    <mergeCell ref="B39:C39"/>
    <mergeCell ref="F39:G39"/>
    <mergeCell ref="B40:C40"/>
    <mergeCell ref="F40:G40"/>
    <mergeCell ref="B41:C41"/>
    <mergeCell ref="F41:G41"/>
    <mergeCell ref="A11:I11"/>
    <mergeCell ref="A32:C32"/>
    <mergeCell ref="A36:I36"/>
    <mergeCell ref="B38:C38"/>
    <mergeCell ref="F38:G38"/>
    <mergeCell ref="A31:F31"/>
    <mergeCell ref="A10:I10"/>
    <mergeCell ref="A1:I1"/>
    <mergeCell ref="A2:I2"/>
    <mergeCell ref="A3:I3"/>
    <mergeCell ref="A5:I5"/>
    <mergeCell ref="A9:I9"/>
    <mergeCell ref="B46:C46"/>
    <mergeCell ref="B47:C47"/>
    <mergeCell ref="F46:G46"/>
    <mergeCell ref="F47:G47"/>
    <mergeCell ref="B43:C43"/>
    <mergeCell ref="B44:C44"/>
    <mergeCell ref="F43:G43"/>
    <mergeCell ref="F44:G44"/>
    <mergeCell ref="F45:G45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7030A0"/>
  </sheetPr>
  <dimension ref="A1:N59"/>
  <sheetViews>
    <sheetView zoomScalePageLayoutView="0" workbookViewId="0" topLeftCell="A22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192</v>
      </c>
      <c r="H7" s="60"/>
    </row>
    <row r="8" spans="1:8" s="59" customFormat="1" ht="12.75">
      <c r="A8" s="59" t="s">
        <v>3</v>
      </c>
      <c r="F8" s="310" t="s">
        <v>303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71">
        <f>'[1]Грабцевское шоссе 160'!$G$35</f>
        <v>-320623.56320000003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1533835.91</v>
      </c>
      <c r="E16" s="76">
        <v>1492652.62</v>
      </c>
      <c r="F16" s="76">
        <f aca="true" t="shared" si="0" ref="F16:F23">D16</f>
        <v>1533835.91</v>
      </c>
      <c r="G16" s="77">
        <f>D16-E16</f>
        <v>41183.289999999804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513256.50373307546</v>
      </c>
      <c r="E17" s="83">
        <f>E16*I17</f>
        <v>499475.6349323018</v>
      </c>
      <c r="F17" s="83">
        <f t="shared" si="0"/>
        <v>513256.50373307546</v>
      </c>
      <c r="G17" s="84">
        <f>D17-E17</f>
        <v>13780.868800773635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250694.65066731136</v>
      </c>
      <c r="E18" s="83">
        <f>E16*I18</f>
        <v>243963.53266924564</v>
      </c>
      <c r="F18" s="83">
        <f t="shared" si="0"/>
        <v>250694.65066731136</v>
      </c>
      <c r="G18" s="84">
        <f>D18-E18</f>
        <v>6731.117998065718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2">
        <v>2.15</v>
      </c>
      <c r="D19" s="83">
        <f>D16*I19</f>
        <v>318931.0644584139</v>
      </c>
      <c r="E19" s="83">
        <f>E16*I19</f>
        <v>310367.80783365574</v>
      </c>
      <c r="F19" s="83">
        <f t="shared" si="0"/>
        <v>318931.0644584139</v>
      </c>
      <c r="G19" s="84">
        <f>D19-E19</f>
        <v>8563.256624758185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450953.6911411992</v>
      </c>
      <c r="E20" s="83">
        <f>E16*I20</f>
        <v>438845.64456479694</v>
      </c>
      <c r="F20" s="83">
        <f t="shared" si="0"/>
        <v>450953.6911411992</v>
      </c>
      <c r="G20" s="84">
        <f>D20-E20</f>
        <v>12108.046576402267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26</v>
      </c>
      <c r="C21" s="46">
        <v>3.86</v>
      </c>
      <c r="D21" s="87">
        <v>385767.98</v>
      </c>
      <c r="E21" s="87">
        <v>380681.79</v>
      </c>
      <c r="F21" s="87">
        <f t="shared" si="0"/>
        <v>385767.98</v>
      </c>
      <c r="G21" s="77">
        <f aca="true" t="shared" si="1" ref="G21:G30">D21-E21</f>
        <v>5086.190000000002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311</v>
      </c>
      <c r="C22" s="46">
        <v>0</v>
      </c>
      <c r="D22" s="87">
        <v>-21989.25</v>
      </c>
      <c r="E22" s="87">
        <v>0</v>
      </c>
      <c r="F22" s="87">
        <f t="shared" si="0"/>
        <v>-21989.25</v>
      </c>
      <c r="G22" s="77">
        <f t="shared" si="1"/>
        <v>-21989.25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187.63</v>
      </c>
      <c r="F23" s="87">
        <f t="shared" si="0"/>
        <v>0</v>
      </c>
      <c r="G23" s="77">
        <f t="shared" si="1"/>
        <v>-187.63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2.06</v>
      </c>
      <c r="D24" s="87">
        <v>206173.96</v>
      </c>
      <c r="E24" s="87">
        <v>203566.56</v>
      </c>
      <c r="F24" s="87">
        <f>F39</f>
        <v>192491.1056</v>
      </c>
      <c r="G24" s="77">
        <f t="shared" si="1"/>
        <v>2607.399999999994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 t="s">
        <v>395</v>
      </c>
      <c r="D25" s="77"/>
      <c r="E25" s="77"/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>
        <v>0</v>
      </c>
      <c r="D26" s="77">
        <f>SUM(D27:D30)</f>
        <v>4068811.6799999997</v>
      </c>
      <c r="E26" s="77">
        <f>SUM(E27:E30)</f>
        <v>4009981.15</v>
      </c>
      <c r="F26" s="77">
        <f>SUM(F27:F30)</f>
        <v>4068811.6799999997</v>
      </c>
      <c r="G26" s="77">
        <f t="shared" si="1"/>
        <v>58830.529999999795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301" t="s">
        <v>379</v>
      </c>
      <c r="D27" s="84">
        <v>190018.56</v>
      </c>
      <c r="E27" s="84">
        <v>187459.62</v>
      </c>
      <c r="F27" s="84">
        <f>D27</f>
        <v>190018.56</v>
      </c>
      <c r="G27" s="84">
        <f t="shared" si="1"/>
        <v>2558.9400000000023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784716.96</v>
      </c>
      <c r="E28" s="84">
        <v>788874.87</v>
      </c>
      <c r="F28" s="84">
        <f>D28</f>
        <v>784716.96</v>
      </c>
      <c r="G28" s="84">
        <f t="shared" si="1"/>
        <v>-4157.910000000033</v>
      </c>
    </row>
    <row r="29" spans="1:7" ht="15">
      <c r="A29" s="34" t="s">
        <v>42</v>
      </c>
      <c r="B29" s="34" t="s">
        <v>143</v>
      </c>
      <c r="C29" s="294" t="s">
        <v>431</v>
      </c>
      <c r="D29" s="84">
        <v>1034469.63</v>
      </c>
      <c r="E29" s="84">
        <v>1014076.95</v>
      </c>
      <c r="F29" s="84">
        <f>D29</f>
        <v>1034469.63</v>
      </c>
      <c r="G29" s="84">
        <f t="shared" si="1"/>
        <v>20392.68000000005</v>
      </c>
    </row>
    <row r="30" spans="1:7" ht="15">
      <c r="A30" s="34" t="s">
        <v>41</v>
      </c>
      <c r="B30" s="34" t="s">
        <v>43</v>
      </c>
      <c r="C30" s="293" t="s">
        <v>427</v>
      </c>
      <c r="D30" s="84">
        <v>2059606.53</v>
      </c>
      <c r="E30" s="84">
        <v>2019569.71</v>
      </c>
      <c r="F30" s="84">
        <f>D30</f>
        <v>2059606.53</v>
      </c>
      <c r="G30" s="84">
        <f t="shared" si="1"/>
        <v>40036.820000000065</v>
      </c>
    </row>
    <row r="31" spans="1:9" s="102" customFormat="1" ht="15.7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1127340.98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1" s="67" customFormat="1" ht="15.75" thickBot="1">
      <c r="A34" s="63" t="s">
        <v>387</v>
      </c>
      <c r="B34" s="64"/>
      <c r="C34" s="64"/>
      <c r="D34" s="69"/>
      <c r="E34" s="70"/>
      <c r="F34" s="70"/>
      <c r="G34" s="71">
        <f>G13+E24-F24</f>
        <v>-309548.10880000005</v>
      </c>
      <c r="H34" s="62"/>
      <c r="I34" s="62"/>
      <c r="K34" s="147"/>
    </row>
    <row r="35" spans="1:11" s="102" customFormat="1" ht="13.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1" ht="31.5" customHeight="1">
      <c r="A36" s="367" t="s">
        <v>189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</row>
    <row r="38" spans="1:12" s="74" customFormat="1" ht="37.5" customHeight="1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L38" s="108"/>
    </row>
    <row r="39" spans="1:12" s="115" customFormat="1" ht="15" customHeight="1">
      <c r="A39" s="109" t="s">
        <v>47</v>
      </c>
      <c r="B39" s="396" t="s">
        <v>114</v>
      </c>
      <c r="C39" s="399"/>
      <c r="D39" s="111"/>
      <c r="E39" s="111"/>
      <c r="F39" s="411">
        <f>SUM(F40:G54)</f>
        <v>192491.1056</v>
      </c>
      <c r="G39" s="404"/>
      <c r="H39" s="253"/>
      <c r="I39" s="254"/>
      <c r="L39" s="116"/>
    </row>
    <row r="40" spans="1:12" ht="15" customHeight="1">
      <c r="A40" s="34" t="s">
        <v>16</v>
      </c>
      <c r="B40" s="369" t="s">
        <v>665</v>
      </c>
      <c r="C40" s="422"/>
      <c r="D40" s="222" t="s">
        <v>240</v>
      </c>
      <c r="E40" s="222">
        <v>0.01</v>
      </c>
      <c r="F40" s="511">
        <v>644.64</v>
      </c>
      <c r="G40" s="512"/>
      <c r="H40" s="255"/>
      <c r="I40" s="256"/>
      <c r="L40" s="120"/>
    </row>
    <row r="41" spans="1:12" ht="15" customHeight="1">
      <c r="A41" s="34" t="s">
        <v>18</v>
      </c>
      <c r="B41" s="369" t="s">
        <v>666</v>
      </c>
      <c r="C41" s="422"/>
      <c r="D41" s="222" t="s">
        <v>241</v>
      </c>
      <c r="E41" s="222">
        <v>0.01</v>
      </c>
      <c r="F41" s="511">
        <v>429.53</v>
      </c>
      <c r="G41" s="512"/>
      <c r="H41" s="40"/>
      <c r="I41" s="40"/>
      <c r="L41" s="120"/>
    </row>
    <row r="42" spans="1:12" ht="15">
      <c r="A42" s="34" t="s">
        <v>20</v>
      </c>
      <c r="B42" s="369" t="s">
        <v>660</v>
      </c>
      <c r="C42" s="422"/>
      <c r="D42" s="222" t="s">
        <v>505</v>
      </c>
      <c r="E42" s="222">
        <v>0.05</v>
      </c>
      <c r="F42" s="511">
        <v>1426.35</v>
      </c>
      <c r="G42" s="512"/>
      <c r="H42" s="40"/>
      <c r="I42" s="40"/>
      <c r="L42" s="120"/>
    </row>
    <row r="43" spans="1:12" ht="15">
      <c r="A43" s="34" t="s">
        <v>22</v>
      </c>
      <c r="B43" s="369" t="s">
        <v>624</v>
      </c>
      <c r="C43" s="422"/>
      <c r="D43" s="222" t="s">
        <v>505</v>
      </c>
      <c r="E43" s="222">
        <v>0.08</v>
      </c>
      <c r="F43" s="511">
        <v>2006.65</v>
      </c>
      <c r="G43" s="512"/>
      <c r="H43" s="40"/>
      <c r="I43" s="40"/>
      <c r="L43" s="120"/>
    </row>
    <row r="44" spans="1:11" s="67" customFormat="1" ht="27.75" customHeight="1">
      <c r="A44" s="259" t="s">
        <v>24</v>
      </c>
      <c r="B44" s="369" t="s">
        <v>661</v>
      </c>
      <c r="C44" s="422"/>
      <c r="D44" s="222" t="s">
        <v>240</v>
      </c>
      <c r="E44" s="222">
        <v>0.085</v>
      </c>
      <c r="F44" s="511">
        <v>11653.18</v>
      </c>
      <c r="G44" s="512"/>
      <c r="H44" s="59"/>
      <c r="I44" s="59"/>
      <c r="J44" s="59"/>
      <c r="K44" s="59"/>
    </row>
    <row r="45" spans="1:7" s="59" customFormat="1" ht="15">
      <c r="A45" s="34" t="s">
        <v>106</v>
      </c>
      <c r="B45" s="369" t="s">
        <v>662</v>
      </c>
      <c r="C45" s="371"/>
      <c r="D45" s="119" t="s">
        <v>240</v>
      </c>
      <c r="E45" s="119">
        <v>0.01</v>
      </c>
      <c r="F45" s="420">
        <v>800.49</v>
      </c>
      <c r="G45" s="421"/>
    </row>
    <row r="46" spans="1:11" s="59" customFormat="1" ht="15">
      <c r="A46" s="34" t="s">
        <v>107</v>
      </c>
      <c r="B46" s="369" t="s">
        <v>663</v>
      </c>
      <c r="C46" s="371"/>
      <c r="D46" s="119" t="s">
        <v>505</v>
      </c>
      <c r="E46" s="119">
        <v>0.04</v>
      </c>
      <c r="F46" s="420">
        <f>295046</f>
        <v>295046</v>
      </c>
      <c r="G46" s="421"/>
      <c r="H46" s="67"/>
      <c r="I46" s="67"/>
      <c r="J46" s="67"/>
      <c r="K46" s="67"/>
    </row>
    <row r="47" spans="1:11" s="59" customFormat="1" ht="30">
      <c r="A47" s="34" t="s">
        <v>120</v>
      </c>
      <c r="B47" s="369" t="s">
        <v>750</v>
      </c>
      <c r="C47" s="422"/>
      <c r="D47" s="222" t="s">
        <v>751</v>
      </c>
      <c r="E47" s="119"/>
      <c r="F47" s="420">
        <f>-328751.99</f>
        <v>-328751.99</v>
      </c>
      <c r="G47" s="421"/>
      <c r="H47" s="67"/>
      <c r="I47" s="67"/>
      <c r="J47" s="67"/>
      <c r="K47" s="67"/>
    </row>
    <row r="48" spans="1:7" s="59" customFormat="1" ht="15">
      <c r="A48" s="34" t="s">
        <v>121</v>
      </c>
      <c r="B48" s="369" t="s">
        <v>179</v>
      </c>
      <c r="C48" s="371"/>
      <c r="D48" s="119" t="s">
        <v>174</v>
      </c>
      <c r="E48" s="119">
        <v>600</v>
      </c>
      <c r="F48" s="420">
        <v>4204.8</v>
      </c>
      <c r="G48" s="421"/>
    </row>
    <row r="49" spans="1:7" s="59" customFormat="1" ht="15">
      <c r="A49" s="34" t="s">
        <v>122</v>
      </c>
      <c r="B49" s="369" t="s">
        <v>664</v>
      </c>
      <c r="C49" s="371"/>
      <c r="D49" s="119" t="s">
        <v>248</v>
      </c>
      <c r="E49" s="119">
        <v>1</v>
      </c>
      <c r="F49" s="420">
        <v>186581</v>
      </c>
      <c r="G49" s="421"/>
    </row>
    <row r="50" spans="1:7" s="59" customFormat="1" ht="15">
      <c r="A50" s="34" t="s">
        <v>144</v>
      </c>
      <c r="B50" s="117" t="s">
        <v>747</v>
      </c>
      <c r="C50" s="118"/>
      <c r="D50" s="119" t="s">
        <v>248</v>
      </c>
      <c r="E50" s="119">
        <v>5</v>
      </c>
      <c r="F50" s="420">
        <v>1780</v>
      </c>
      <c r="G50" s="421"/>
    </row>
    <row r="51" spans="1:7" s="59" customFormat="1" ht="26.25">
      <c r="A51" s="34" t="s">
        <v>146</v>
      </c>
      <c r="B51" s="117" t="s">
        <v>752</v>
      </c>
      <c r="C51" s="118"/>
      <c r="D51" s="119" t="s">
        <v>505</v>
      </c>
      <c r="E51" s="119">
        <v>0.01</v>
      </c>
      <c r="F51" s="420">
        <v>848.21</v>
      </c>
      <c r="G51" s="421"/>
    </row>
    <row r="52" spans="1:7" s="59" customFormat="1" ht="15">
      <c r="A52" s="34" t="s">
        <v>147</v>
      </c>
      <c r="B52" s="369" t="s">
        <v>753</v>
      </c>
      <c r="C52" s="415"/>
      <c r="D52" s="119" t="s">
        <v>505</v>
      </c>
      <c r="E52" s="119">
        <v>0.03</v>
      </c>
      <c r="F52" s="420">
        <v>1786.58</v>
      </c>
      <c r="G52" s="421"/>
    </row>
    <row r="53" spans="1:7" s="59" customFormat="1" ht="15">
      <c r="A53" s="34" t="s">
        <v>320</v>
      </c>
      <c r="B53" s="369" t="s">
        <v>792</v>
      </c>
      <c r="C53" s="415"/>
      <c r="D53" s="126"/>
      <c r="E53" s="126"/>
      <c r="F53" s="455">
        <v>12000</v>
      </c>
      <c r="G53" s="456"/>
    </row>
    <row r="54" spans="1:7" ht="15">
      <c r="A54" s="34" t="s">
        <v>357</v>
      </c>
      <c r="B54" s="408" t="s">
        <v>198</v>
      </c>
      <c r="C54" s="409"/>
      <c r="D54" s="125"/>
      <c r="E54" s="125"/>
      <c r="F54" s="410">
        <f>E24*1%</f>
        <v>2035.6656</v>
      </c>
      <c r="G54" s="410"/>
    </row>
    <row r="55" spans="1:7" ht="12.75">
      <c r="A55" s="59"/>
      <c r="B55" s="59"/>
      <c r="C55" s="59"/>
      <c r="D55" s="59"/>
      <c r="E55" s="59"/>
      <c r="F55" s="59"/>
      <c r="G55" s="59"/>
    </row>
    <row r="56" spans="1:7" ht="15">
      <c r="A56" s="67" t="s">
        <v>55</v>
      </c>
      <c r="B56" s="67"/>
      <c r="C56" s="127" t="s">
        <v>49</v>
      </c>
      <c r="D56" s="67"/>
      <c r="E56" s="67"/>
      <c r="F56" s="67" t="s">
        <v>93</v>
      </c>
      <c r="G56" s="67"/>
    </row>
    <row r="57" spans="1:7" ht="15">
      <c r="A57" s="67"/>
      <c r="B57" s="67"/>
      <c r="C57" s="127"/>
      <c r="D57" s="67"/>
      <c r="E57" s="67"/>
      <c r="F57" s="128" t="s">
        <v>516</v>
      </c>
      <c r="G57" s="67"/>
    </row>
    <row r="58" spans="1:7" ht="15">
      <c r="A58" s="67" t="s">
        <v>50</v>
      </c>
      <c r="B58" s="67"/>
      <c r="C58" s="127"/>
      <c r="D58" s="67"/>
      <c r="E58" s="67"/>
      <c r="F58" s="67"/>
      <c r="G58" s="67"/>
    </row>
    <row r="59" spans="1:7" ht="15">
      <c r="A59" s="67"/>
      <c r="B59" s="67"/>
      <c r="C59" s="129" t="s">
        <v>51</v>
      </c>
      <c r="D59" s="67"/>
      <c r="E59" s="130"/>
      <c r="F59" s="130"/>
      <c r="G59" s="130"/>
    </row>
  </sheetData>
  <sheetProtection/>
  <mergeCells count="42">
    <mergeCell ref="B42:C42"/>
    <mergeCell ref="B43:C43"/>
    <mergeCell ref="B54:C54"/>
    <mergeCell ref="F54:G54"/>
    <mergeCell ref="B45:C45"/>
    <mergeCell ref="F45:G45"/>
    <mergeCell ref="B46:C46"/>
    <mergeCell ref="F46:G46"/>
    <mergeCell ref="F49:G49"/>
    <mergeCell ref="F53:G53"/>
    <mergeCell ref="A32:C32"/>
    <mergeCell ref="A36:K36"/>
    <mergeCell ref="B38:C38"/>
    <mergeCell ref="F38:G38"/>
    <mergeCell ref="B44:C44"/>
    <mergeCell ref="F43:G43"/>
    <mergeCell ref="F44:G44"/>
    <mergeCell ref="B39:C39"/>
    <mergeCell ref="B40:C40"/>
    <mergeCell ref="B41:C41"/>
    <mergeCell ref="A10:K10"/>
    <mergeCell ref="A1:K1"/>
    <mergeCell ref="A2:K2"/>
    <mergeCell ref="A3:K3"/>
    <mergeCell ref="A5:K5"/>
    <mergeCell ref="A9:K9"/>
    <mergeCell ref="F40:G40"/>
    <mergeCell ref="B48:C48"/>
    <mergeCell ref="B53:C53"/>
    <mergeCell ref="A11:K11"/>
    <mergeCell ref="A31:F31"/>
    <mergeCell ref="F39:G39"/>
    <mergeCell ref="B49:C49"/>
    <mergeCell ref="F41:G41"/>
    <mergeCell ref="F42:G42"/>
    <mergeCell ref="B47:C47"/>
    <mergeCell ref="F47:G47"/>
    <mergeCell ref="B52:C52"/>
    <mergeCell ref="F52:G52"/>
    <mergeCell ref="F50:G50"/>
    <mergeCell ref="F51:G51"/>
    <mergeCell ref="F48:G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K57"/>
  <sheetViews>
    <sheetView zoomScalePageLayoutView="0" workbookViewId="0" topLeftCell="A26">
      <selection activeCell="G36" sqref="G36"/>
    </sheetView>
  </sheetViews>
  <sheetFormatPr defaultColWidth="9.140625" defaultRowHeight="15" outlineLevelCol="1"/>
  <cols>
    <col min="1" max="1" width="4.7109375" style="35" customWidth="1"/>
    <col min="2" max="2" width="48.00390625" style="35" customWidth="1"/>
    <col min="3" max="3" width="12.8515625" style="35" customWidth="1"/>
    <col min="4" max="4" width="13.140625" style="35" bestFit="1" customWidth="1"/>
    <col min="5" max="5" width="14.28125" style="35" customWidth="1"/>
    <col min="6" max="6" width="15.14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4.2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12.7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2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7" spans="1:5" s="67" customFormat="1" ht="16.5" customHeight="1">
      <c r="A7" s="67" t="s">
        <v>2</v>
      </c>
      <c r="E7" s="128" t="s">
        <v>60</v>
      </c>
    </row>
    <row r="8" spans="1:5" s="67" customFormat="1" ht="15">
      <c r="A8" s="67" t="s">
        <v>3</v>
      </c>
      <c r="E8" s="299" t="s">
        <v>389</v>
      </c>
    </row>
    <row r="9" s="67" customFormat="1" ht="15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312</v>
      </c>
      <c r="B14" s="64"/>
      <c r="C14" s="64"/>
      <c r="D14" s="69"/>
      <c r="E14" s="70"/>
      <c r="F14" s="70"/>
      <c r="G14" s="146">
        <f>'[1]Социалистическая 4'!$G$37</f>
        <v>171860.85</v>
      </c>
      <c r="H14" s="62"/>
      <c r="I14" s="62"/>
    </row>
    <row r="15" spans="1:9" s="67" customFormat="1" ht="15.75" thickBot="1">
      <c r="A15" s="63" t="s">
        <v>313</v>
      </c>
      <c r="B15" s="64"/>
      <c r="C15" s="64"/>
      <c r="D15" s="69"/>
      <c r="E15" s="70"/>
      <c r="F15" s="70"/>
      <c r="G15" s="146">
        <f>'[1]Социалистическая 4'!$G$38</f>
        <v>294073.4143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169" customFormat="1" ht="14.25">
      <c r="A18" s="75" t="s">
        <v>14</v>
      </c>
      <c r="B18" s="41" t="s">
        <v>15</v>
      </c>
      <c r="C18" s="137">
        <f>C19+C20+C21+C22</f>
        <v>9.879999999999999</v>
      </c>
      <c r="D18" s="76">
        <v>410267.22</v>
      </c>
      <c r="E18" s="76">
        <v>402853.36</v>
      </c>
      <c r="F18" s="76">
        <f>D18</f>
        <v>410267.22</v>
      </c>
      <c r="G18" s="77">
        <f>D18-E18</f>
        <v>7413.859999999986</v>
      </c>
      <c r="H18" s="168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143676.5770445344</v>
      </c>
      <c r="E19" s="83">
        <f>E18*I19</f>
        <v>141080.2252631579</v>
      </c>
      <c r="F19" s="83">
        <f>D19</f>
        <v>143676.5770445344</v>
      </c>
      <c r="G19" s="84">
        <f>D19-E19</f>
        <v>2596.351781376521</v>
      </c>
      <c r="H19" s="147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70177.28763157895</v>
      </c>
      <c r="E20" s="83">
        <f>E18*I20</f>
        <v>68909.12736842105</v>
      </c>
      <c r="F20" s="83">
        <f>D20</f>
        <v>70177.28763157895</v>
      </c>
      <c r="G20" s="84">
        <f>D20-E20</f>
        <v>1268.1602631579008</v>
      </c>
      <c r="H20" s="147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70177.28763157895</v>
      </c>
      <c r="E21" s="83">
        <f>E18*I21</f>
        <v>68909.12736842105</v>
      </c>
      <c r="F21" s="83">
        <f>D21</f>
        <v>70177.28763157895</v>
      </c>
      <c r="G21" s="84">
        <f>D21-E21</f>
        <v>1268.1602631579008</v>
      </c>
      <c r="H21" s="147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126236.0676923077</v>
      </c>
      <c r="E22" s="83">
        <f>E18*I22</f>
        <v>123954.88</v>
      </c>
      <c r="F22" s="83">
        <f>D22</f>
        <v>126236.0676923077</v>
      </c>
      <c r="G22" s="84">
        <f>D22-E22</f>
        <v>2281.1876923076925</v>
      </c>
      <c r="H22" s="147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2" t="s">
        <v>26</v>
      </c>
      <c r="C23" s="97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4.25">
      <c r="A24" s="41" t="s">
        <v>27</v>
      </c>
      <c r="B24" s="142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2" t="s">
        <v>168</v>
      </c>
      <c r="C25" s="143">
        <v>0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7" s="39" customFormat="1" ht="14.25">
      <c r="A26" s="41" t="s">
        <v>31</v>
      </c>
      <c r="B26" s="142" t="s">
        <v>119</v>
      </c>
      <c r="C26" s="97">
        <v>1.86</v>
      </c>
      <c r="D26" s="77">
        <v>77318.93</v>
      </c>
      <c r="E26" s="77">
        <v>75827.26</v>
      </c>
      <c r="F26" s="76">
        <f>F42</f>
        <v>108919.5326</v>
      </c>
      <c r="G26" s="77">
        <f t="shared" si="1"/>
        <v>1491.6699999999983</v>
      </c>
    </row>
    <row r="27" spans="1:7" s="39" customFormat="1" ht="14.25">
      <c r="A27" s="41" t="s">
        <v>33</v>
      </c>
      <c r="B27" s="136" t="s">
        <v>34</v>
      </c>
      <c r="C27" s="46">
        <v>0</v>
      </c>
      <c r="D27" s="77">
        <v>0</v>
      </c>
      <c r="E27" s="77">
        <v>0</v>
      </c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6" t="s">
        <v>36</v>
      </c>
      <c r="C28" s="97"/>
      <c r="D28" s="77">
        <f>SUM(D29:D32)</f>
        <v>1856649.7999999998</v>
      </c>
      <c r="E28" s="77">
        <f>SUM(E29:E32)</f>
        <v>1800988.58</v>
      </c>
      <c r="F28" s="76">
        <f t="shared" si="0"/>
        <v>1856649.7999999998</v>
      </c>
      <c r="G28" s="77">
        <f t="shared" si="1"/>
        <v>55661.21999999974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30687.84</v>
      </c>
      <c r="E29" s="84">
        <v>29772.98</v>
      </c>
      <c r="F29" s="83">
        <v>1518.22</v>
      </c>
      <c r="G29" s="84">
        <f t="shared" si="1"/>
        <v>914.8600000000006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547952.2</v>
      </c>
      <c r="E30" s="84">
        <v>513022.52</v>
      </c>
      <c r="F30" s="83">
        <f t="shared" si="0"/>
        <v>547952.2</v>
      </c>
      <c r="G30" s="84">
        <f t="shared" si="1"/>
        <v>34929.679999999935</v>
      </c>
    </row>
    <row r="31" spans="1:7" ht="14.25" customHeight="1">
      <c r="A31" s="34" t="s">
        <v>42</v>
      </c>
      <c r="B31" s="34" t="s">
        <v>40</v>
      </c>
      <c r="C31" s="145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 customHeight="1">
      <c r="A32" s="34" t="s">
        <v>41</v>
      </c>
      <c r="B32" s="34" t="s">
        <v>43</v>
      </c>
      <c r="C32" s="293" t="s">
        <v>380</v>
      </c>
      <c r="D32" s="84">
        <v>1278009.76</v>
      </c>
      <c r="E32" s="84">
        <v>1258193.08</v>
      </c>
      <c r="F32" s="83">
        <f t="shared" si="0"/>
        <v>1278009.76</v>
      </c>
      <c r="G32" s="84">
        <f t="shared" si="1"/>
        <v>19816.679999999935</v>
      </c>
    </row>
    <row r="33" spans="1:10" s="102" customFormat="1" ht="18" customHeight="1" thickBot="1">
      <c r="A33" s="104"/>
      <c r="B33" s="104"/>
      <c r="C33" s="104"/>
      <c r="D33" s="101"/>
      <c r="E33" s="101"/>
      <c r="F33" s="101"/>
      <c r="G33" s="101"/>
      <c r="H33" s="101"/>
      <c r="I33" s="101"/>
      <c r="J33" s="101"/>
    </row>
    <row r="34" spans="1:9" s="67" customFormat="1" ht="15.75" thickBot="1">
      <c r="A34" s="418" t="s">
        <v>383</v>
      </c>
      <c r="B34" s="419"/>
      <c r="C34" s="419"/>
      <c r="D34" s="65">
        <v>1718297.4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386</v>
      </c>
      <c r="B36" s="64"/>
      <c r="C36" s="64"/>
      <c r="D36" s="69"/>
      <c r="E36" s="70"/>
      <c r="F36" s="70"/>
      <c r="G36" s="146">
        <f>G14+E27-F27</f>
        <v>171860.85</v>
      </c>
      <c r="H36" s="62"/>
      <c r="I36" s="62"/>
    </row>
    <row r="37" spans="1:9" s="67" customFormat="1" ht="15.75" thickBot="1">
      <c r="A37" s="63" t="s">
        <v>387</v>
      </c>
      <c r="B37" s="64"/>
      <c r="C37" s="64"/>
      <c r="D37" s="69"/>
      <c r="E37" s="70"/>
      <c r="F37" s="70"/>
      <c r="G37" s="146">
        <f>G15+E26-F26</f>
        <v>260981.1417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4" customHeight="1">
      <c r="A39" s="367" t="s">
        <v>44</v>
      </c>
      <c r="B39" s="367"/>
      <c r="C39" s="367"/>
      <c r="D39" s="367"/>
      <c r="E39" s="367"/>
      <c r="F39" s="367"/>
      <c r="G39" s="367"/>
      <c r="H39" s="367"/>
      <c r="I39" s="367"/>
    </row>
    <row r="40" ht="8.25" customHeight="1"/>
    <row r="41" spans="1:7" s="173" customFormat="1" ht="28.5" customHeight="1">
      <c r="A41" s="105" t="s">
        <v>11</v>
      </c>
      <c r="B41" s="179" t="s">
        <v>45</v>
      </c>
      <c r="C41" s="180"/>
      <c r="D41" s="105" t="s">
        <v>170</v>
      </c>
      <c r="E41" s="105" t="s">
        <v>169</v>
      </c>
      <c r="F41" s="394" t="s">
        <v>46</v>
      </c>
      <c r="G41" s="404"/>
    </row>
    <row r="42" spans="1:7" s="115" customFormat="1" ht="14.25" customHeight="1">
      <c r="A42" s="109" t="s">
        <v>47</v>
      </c>
      <c r="B42" s="396" t="s">
        <v>114</v>
      </c>
      <c r="C42" s="399"/>
      <c r="D42" s="174"/>
      <c r="E42" s="174"/>
      <c r="F42" s="411">
        <f>SUM(F43:L52)</f>
        <v>108919.5326</v>
      </c>
      <c r="G42" s="404"/>
    </row>
    <row r="43" spans="1:7" ht="14.25" customHeight="1">
      <c r="A43" s="34" t="s">
        <v>16</v>
      </c>
      <c r="B43" s="369" t="s">
        <v>502</v>
      </c>
      <c r="C43" s="415"/>
      <c r="D43" s="153" t="s">
        <v>258</v>
      </c>
      <c r="E43" s="154"/>
      <c r="F43" s="398">
        <v>92</v>
      </c>
      <c r="G43" s="398"/>
    </row>
    <row r="44" spans="1:7" ht="14.25" customHeight="1">
      <c r="A44" s="34" t="s">
        <v>18</v>
      </c>
      <c r="B44" s="369" t="s">
        <v>502</v>
      </c>
      <c r="C44" s="415"/>
      <c r="D44" s="153" t="s">
        <v>258</v>
      </c>
      <c r="E44" s="154"/>
      <c r="F44" s="398">
        <v>3630.67</v>
      </c>
      <c r="G44" s="398"/>
    </row>
    <row r="45" spans="1:7" ht="14.25" customHeight="1">
      <c r="A45" s="34" t="s">
        <v>20</v>
      </c>
      <c r="B45" s="117" t="s">
        <v>518</v>
      </c>
      <c r="C45" s="345"/>
      <c r="D45" s="153" t="s">
        <v>248</v>
      </c>
      <c r="E45" s="154">
        <v>2</v>
      </c>
      <c r="F45" s="398">
        <v>105.34</v>
      </c>
      <c r="G45" s="398"/>
    </row>
    <row r="46" spans="1:7" ht="14.25" customHeight="1">
      <c r="A46" s="34" t="s">
        <v>22</v>
      </c>
      <c r="B46" s="117" t="s">
        <v>519</v>
      </c>
      <c r="C46" s="345"/>
      <c r="D46" s="153" t="s">
        <v>248</v>
      </c>
      <c r="E46" s="154">
        <v>4</v>
      </c>
      <c r="F46" s="398">
        <v>278.8</v>
      </c>
      <c r="G46" s="398"/>
    </row>
    <row r="47" spans="1:7" ht="14.25" customHeight="1">
      <c r="A47" s="34" t="s">
        <v>24</v>
      </c>
      <c r="B47" s="117" t="s">
        <v>569</v>
      </c>
      <c r="C47" s="345"/>
      <c r="D47" s="153" t="s">
        <v>248</v>
      </c>
      <c r="E47" s="154">
        <v>1</v>
      </c>
      <c r="F47" s="398">
        <v>24251.47</v>
      </c>
      <c r="G47" s="398"/>
    </row>
    <row r="48" spans="1:7" ht="14.25" customHeight="1">
      <c r="A48" s="34" t="s">
        <v>106</v>
      </c>
      <c r="B48" s="369" t="s">
        <v>520</v>
      </c>
      <c r="C48" s="371"/>
      <c r="D48" s="153" t="s">
        <v>505</v>
      </c>
      <c r="E48" s="154">
        <v>0.03</v>
      </c>
      <c r="F48" s="410">
        <v>1872.98</v>
      </c>
      <c r="G48" s="410"/>
    </row>
    <row r="49" spans="1:7" ht="14.25" customHeight="1">
      <c r="A49" s="34" t="s">
        <v>107</v>
      </c>
      <c r="B49" s="369" t="s">
        <v>790</v>
      </c>
      <c r="C49" s="371"/>
      <c r="D49" s="153"/>
      <c r="E49" s="154"/>
      <c r="F49" s="410">
        <v>2930</v>
      </c>
      <c r="G49" s="410"/>
    </row>
    <row r="50" spans="1:7" ht="14.25" customHeight="1">
      <c r="A50" s="34" t="s">
        <v>120</v>
      </c>
      <c r="B50" s="369" t="s">
        <v>793</v>
      </c>
      <c r="C50" s="371"/>
      <c r="D50" s="153"/>
      <c r="E50" s="154"/>
      <c r="F50" s="410">
        <v>32000</v>
      </c>
      <c r="G50" s="410"/>
    </row>
    <row r="51" spans="1:7" ht="14.25" customHeight="1">
      <c r="A51" s="34" t="s">
        <v>121</v>
      </c>
      <c r="B51" s="369" t="s">
        <v>789</v>
      </c>
      <c r="C51" s="371"/>
      <c r="D51" s="153"/>
      <c r="E51" s="154"/>
      <c r="F51" s="410">
        <v>43000</v>
      </c>
      <c r="G51" s="410"/>
    </row>
    <row r="52" spans="1:7" ht="14.25" customHeight="1">
      <c r="A52" s="34" t="s">
        <v>122</v>
      </c>
      <c r="B52" s="185" t="s">
        <v>198</v>
      </c>
      <c r="C52" s="186"/>
      <c r="D52" s="193"/>
      <c r="E52" s="193"/>
      <c r="F52" s="410">
        <f>E26*1%</f>
        <v>758.2726</v>
      </c>
      <c r="G52" s="410"/>
    </row>
    <row r="53" spans="2:5" ht="8.25" customHeight="1">
      <c r="B53" s="156"/>
      <c r="C53" s="156"/>
      <c r="D53" s="156"/>
      <c r="E53" s="156"/>
    </row>
    <row r="54" spans="1:6" s="67" customFormat="1" ht="15">
      <c r="A54" s="67" t="s">
        <v>55</v>
      </c>
      <c r="C54" s="67" t="s">
        <v>49</v>
      </c>
      <c r="F54" s="67" t="s">
        <v>93</v>
      </c>
    </row>
    <row r="55" s="67" customFormat="1" ht="13.5" customHeight="1">
      <c r="F55" s="128" t="s">
        <v>516</v>
      </c>
    </row>
    <row r="56" s="67" customFormat="1" ht="15">
      <c r="A56" s="67" t="s">
        <v>50</v>
      </c>
    </row>
    <row r="57" spans="3:7" s="67" customFormat="1" ht="15">
      <c r="C57" s="130" t="s">
        <v>51</v>
      </c>
      <c r="E57" s="130"/>
      <c r="F57" s="130"/>
      <c r="G57" s="130"/>
    </row>
    <row r="58" s="67" customFormat="1" ht="15"/>
    <row r="59" s="67" customFormat="1" ht="15"/>
  </sheetData>
  <sheetProtection/>
  <mergeCells count="28">
    <mergeCell ref="F45:G45"/>
    <mergeCell ref="F46:G46"/>
    <mergeCell ref="F47:G47"/>
    <mergeCell ref="A39:I39"/>
    <mergeCell ref="A12:I12"/>
    <mergeCell ref="A34:C34"/>
    <mergeCell ref="A1:I1"/>
    <mergeCell ref="A2:I2"/>
    <mergeCell ref="A5:I5"/>
    <mergeCell ref="A10:I10"/>
    <mergeCell ref="A3:K3"/>
    <mergeCell ref="A11:I11"/>
    <mergeCell ref="F52:G52"/>
    <mergeCell ref="F43:G43"/>
    <mergeCell ref="F48:G48"/>
    <mergeCell ref="B43:C43"/>
    <mergeCell ref="B48:C48"/>
    <mergeCell ref="F41:G41"/>
    <mergeCell ref="F42:G42"/>
    <mergeCell ref="B42:C42"/>
    <mergeCell ref="B44:C44"/>
    <mergeCell ref="F44:G44"/>
    <mergeCell ref="B49:C49"/>
    <mergeCell ref="B50:C50"/>
    <mergeCell ref="B51:C51"/>
    <mergeCell ref="F49:G49"/>
    <mergeCell ref="F50:G50"/>
    <mergeCell ref="F51:G51"/>
  </mergeCells>
  <printOptions/>
  <pageMargins left="0.5905511811023623" right="0" top="0.5905511811023623" bottom="0.5905511811023623" header="0.31496062992125984" footer="0.31496062992125984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7030A0"/>
  </sheetPr>
  <dimension ref="A1:P46"/>
  <sheetViews>
    <sheetView zoomScalePageLayoutView="0" workbookViewId="0" topLeftCell="A31">
      <selection activeCell="G34" sqref="G34"/>
    </sheetView>
  </sheetViews>
  <sheetFormatPr defaultColWidth="9.140625" defaultRowHeight="15" outlineLevelCol="1"/>
  <cols>
    <col min="1" max="1" width="5.57421875" style="57" customWidth="1"/>
    <col min="2" max="2" width="51.8515625" style="57" customWidth="1"/>
    <col min="3" max="3" width="15.7109375" style="57" customWidth="1"/>
    <col min="4" max="4" width="14.8515625" style="57" customWidth="1"/>
    <col min="5" max="5" width="13.28125" style="57" customWidth="1"/>
    <col min="6" max="6" width="12.8515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3" s="59" customFormat="1" ht="16.5" customHeight="1">
      <c r="A7" s="59" t="s">
        <v>2</v>
      </c>
      <c r="F7" s="60" t="s">
        <v>191</v>
      </c>
      <c r="H7" s="60"/>
      <c r="L7" s="61"/>
      <c r="M7" s="59" t="s">
        <v>133</v>
      </c>
    </row>
    <row r="8" spans="1:8" s="59" customFormat="1" ht="12.75">
      <c r="A8" s="59" t="s">
        <v>3</v>
      </c>
      <c r="F8" s="310" t="s">
        <v>449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'[1]Аэропортовская 9'!$G$35</f>
        <v>-7429.511299999998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6" s="59" customFormat="1" ht="14.25">
      <c r="A16" s="75" t="s">
        <v>14</v>
      </c>
      <c r="B16" s="41" t="s">
        <v>15</v>
      </c>
      <c r="C16" s="202">
        <f>C17+C18+C19+C20</f>
        <v>9.879999999999999</v>
      </c>
      <c r="D16" s="76">
        <v>105731.82</v>
      </c>
      <c r="E16" s="76">
        <v>115977.72</v>
      </c>
      <c r="F16" s="76">
        <f>D16</f>
        <v>105731.82</v>
      </c>
      <c r="G16" s="77">
        <f>D16-E16</f>
        <v>-10245.899999999994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84">
        <v>3.46</v>
      </c>
      <c r="D17" s="83">
        <f>D16*I17</f>
        <v>37027.540202429154</v>
      </c>
      <c r="E17" s="83">
        <f>E16*I17</f>
        <v>40615.67927125507</v>
      </c>
      <c r="F17" s="83">
        <f>D17</f>
        <v>37027.540202429154</v>
      </c>
      <c r="G17" s="84">
        <f>D17-E17</f>
        <v>-3588.1390688259125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4">
        <v>1.69</v>
      </c>
      <c r="D18" s="83">
        <f>D16*I18</f>
        <v>18085.70605263158</v>
      </c>
      <c r="E18" s="83">
        <f>E16*I18</f>
        <v>19838.294210526317</v>
      </c>
      <c r="F18" s="83">
        <f>D18</f>
        <v>18085.70605263158</v>
      </c>
      <c r="G18" s="84">
        <f>D18-E18</f>
        <v>-1752.5881578947374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4">
        <v>1.69</v>
      </c>
      <c r="D19" s="83">
        <f>D16*I19</f>
        <v>18085.70605263158</v>
      </c>
      <c r="E19" s="83">
        <f>E16*I19</f>
        <v>19838.294210526317</v>
      </c>
      <c r="F19" s="83">
        <f>D19</f>
        <v>18085.70605263158</v>
      </c>
      <c r="G19" s="84">
        <f>D19-E19</f>
        <v>-1752.5881578947374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4">
        <v>3.04</v>
      </c>
      <c r="D20" s="83">
        <f>D16*I20</f>
        <v>32532.867692307696</v>
      </c>
      <c r="E20" s="83">
        <f>E16*I20</f>
        <v>35685.45230769231</v>
      </c>
      <c r="F20" s="83">
        <f>D20</f>
        <v>32532.867692307696</v>
      </c>
      <c r="G20" s="84">
        <f>D20-E20</f>
        <v>-3152.5846153846105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8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8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87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267">
        <v>1.86</v>
      </c>
      <c r="D24" s="87">
        <v>19877.46</v>
      </c>
      <c r="E24" s="87">
        <v>21888.56</v>
      </c>
      <c r="F24" s="87">
        <f>F39</f>
        <v>9136.8856</v>
      </c>
      <c r="G24" s="77">
        <f t="shared" si="0"/>
        <v>-2011.1000000000022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77">
        <v>12.54</v>
      </c>
      <c r="D25" s="77">
        <v>0</v>
      </c>
      <c r="E25" s="77">
        <v>0</v>
      </c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486787.47</v>
      </c>
      <c r="E26" s="77">
        <f>SUM(E27:E30)</f>
        <v>529803.87</v>
      </c>
      <c r="F26" s="77">
        <f>SUM(F27:F30)</f>
        <v>486787.47</v>
      </c>
      <c r="G26" s="77">
        <f t="shared" si="0"/>
        <v>-43016.40000000002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301" t="s">
        <v>379</v>
      </c>
      <c r="D27" s="84">
        <v>1244.67</v>
      </c>
      <c r="E27" s="84">
        <v>1367.14</v>
      </c>
      <c r="F27" s="84">
        <f>D27</f>
        <v>1244.67</v>
      </c>
      <c r="G27" s="84">
        <f t="shared" si="0"/>
        <v>-122.47000000000003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95823.81</v>
      </c>
      <c r="E28" s="84">
        <v>106483.49</v>
      </c>
      <c r="F28" s="84">
        <f>D28</f>
        <v>95823.81</v>
      </c>
      <c r="G28" s="84">
        <f t="shared" si="0"/>
        <v>-10659.680000000008</v>
      </c>
    </row>
    <row r="29" spans="1:7" ht="15">
      <c r="A29" s="34" t="s">
        <v>42</v>
      </c>
      <c r="B29" s="34" t="s">
        <v>143</v>
      </c>
      <c r="C29" s="145"/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389718.99</v>
      </c>
      <c r="E30" s="84">
        <v>421953.24</v>
      </c>
      <c r="F30" s="84">
        <f>D30</f>
        <v>389718.99</v>
      </c>
      <c r="G30" s="84">
        <f t="shared" si="0"/>
        <v>-32234.25</v>
      </c>
    </row>
    <row r="31" spans="1:9" s="102" customFormat="1" ht="18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86142.97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5322.163100000003</v>
      </c>
      <c r="H34" s="62"/>
      <c r="I34" s="62"/>
    </row>
    <row r="35" spans="1:13" s="102" customFormat="1" ht="13.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s="102" customFormat="1" ht="27" customHeight="1">
      <c r="A36" s="367" t="s">
        <v>44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101"/>
      <c r="M36" s="101"/>
    </row>
    <row r="38" spans="1:11" ht="28.5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J38" s="74"/>
      <c r="K38" s="74"/>
    </row>
    <row r="39" spans="1:14" s="74" customFormat="1" ht="15">
      <c r="A39" s="109" t="s">
        <v>47</v>
      </c>
      <c r="B39" s="396" t="s">
        <v>114</v>
      </c>
      <c r="C39" s="399"/>
      <c r="D39" s="111"/>
      <c r="E39" s="111"/>
      <c r="F39" s="411">
        <f>SUM(F40:G41)</f>
        <v>9136.8856</v>
      </c>
      <c r="G39" s="404"/>
      <c r="H39" s="253"/>
      <c r="I39" s="254"/>
      <c r="J39" s="115"/>
      <c r="K39" s="115"/>
      <c r="N39" s="108"/>
    </row>
    <row r="40" spans="1:7" s="59" customFormat="1" ht="15">
      <c r="A40" s="34" t="s">
        <v>16</v>
      </c>
      <c r="B40" s="369" t="s">
        <v>175</v>
      </c>
      <c r="C40" s="371"/>
      <c r="D40" s="119"/>
      <c r="E40" s="119"/>
      <c r="F40" s="420">
        <v>8918</v>
      </c>
      <c r="G40" s="421"/>
    </row>
    <row r="41" spans="1:10" s="59" customFormat="1" ht="15">
      <c r="A41" s="34" t="s">
        <v>18</v>
      </c>
      <c r="B41" s="408" t="s">
        <v>198</v>
      </c>
      <c r="C41" s="409"/>
      <c r="D41" s="125"/>
      <c r="E41" s="125"/>
      <c r="F41" s="410">
        <f>E24*1%</f>
        <v>218.8856</v>
      </c>
      <c r="G41" s="410"/>
      <c r="H41" s="158"/>
      <c r="I41" s="158"/>
      <c r="J41" s="158"/>
    </row>
    <row r="42" s="59" customFormat="1" ht="12.75"/>
    <row r="43" spans="1:11" ht="15">
      <c r="A43" s="67" t="s">
        <v>55</v>
      </c>
      <c r="B43" s="67"/>
      <c r="C43" s="127" t="s">
        <v>49</v>
      </c>
      <c r="D43" s="67"/>
      <c r="E43" s="67"/>
      <c r="F43" s="67" t="s">
        <v>93</v>
      </c>
      <c r="G43" s="67"/>
      <c r="H43" s="59"/>
      <c r="I43" s="59"/>
      <c r="J43" s="59"/>
      <c r="K43" s="59"/>
    </row>
    <row r="44" spans="1:7" ht="15">
      <c r="A44" s="67"/>
      <c r="B44" s="67"/>
      <c r="C44" s="127"/>
      <c r="D44" s="67"/>
      <c r="E44" s="67"/>
      <c r="F44" s="128" t="s">
        <v>516</v>
      </c>
      <c r="G44" s="67"/>
    </row>
    <row r="45" spans="1:7" ht="15">
      <c r="A45" s="67" t="s">
        <v>50</v>
      </c>
      <c r="B45" s="67"/>
      <c r="C45" s="127"/>
      <c r="D45" s="67"/>
      <c r="E45" s="67"/>
      <c r="F45" s="67"/>
      <c r="G45" s="67"/>
    </row>
    <row r="46" spans="1:7" ht="15">
      <c r="A46" s="67"/>
      <c r="B46" s="67"/>
      <c r="C46" s="129" t="s">
        <v>51</v>
      </c>
      <c r="D46" s="67"/>
      <c r="E46" s="130"/>
      <c r="F46" s="130"/>
      <c r="G46" s="130"/>
    </row>
  </sheetData>
  <sheetProtection/>
  <mergeCells count="18">
    <mergeCell ref="B41:C41"/>
    <mergeCell ref="F41:G41"/>
    <mergeCell ref="B39:C39"/>
    <mergeCell ref="F39:G39"/>
    <mergeCell ref="B40:C40"/>
    <mergeCell ref="F40:G40"/>
    <mergeCell ref="A11:K11"/>
    <mergeCell ref="A32:C32"/>
    <mergeCell ref="A36:K36"/>
    <mergeCell ref="B38:C38"/>
    <mergeCell ref="F38:G38"/>
    <mergeCell ref="A31:F31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7030A0"/>
  </sheetPr>
  <dimension ref="A1:N55"/>
  <sheetViews>
    <sheetView zoomScalePageLayoutView="0" workbookViewId="0" topLeftCell="A34">
      <selection activeCell="F47" sqref="F47:G47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224</v>
      </c>
      <c r="H7" s="60"/>
    </row>
    <row r="8" spans="1:8" s="59" customFormat="1" ht="12.75">
      <c r="A8" s="59" t="s">
        <v>3</v>
      </c>
      <c r="F8" s="310" t="s">
        <v>450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'[1]Хрустальная 52'!$G$35</f>
        <v>-87794.07590000001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569979.05</v>
      </c>
      <c r="E16" s="76">
        <v>544823.4</v>
      </c>
      <c r="F16" s="76">
        <f aca="true" t="shared" si="0" ref="F16:F23">D16</f>
        <v>569979.05</v>
      </c>
      <c r="G16" s="77">
        <f>D16-E16</f>
        <v>25155.650000000023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190727.99932301743</v>
      </c>
      <c r="E17" s="83">
        <f>E16*I17</f>
        <v>182310.3446808511</v>
      </c>
      <c r="F17" s="83">
        <f t="shared" si="0"/>
        <v>190727.99932301743</v>
      </c>
      <c r="G17" s="84">
        <f>D17-E17</f>
        <v>8417.654642166337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93159.05169245647</v>
      </c>
      <c r="E18" s="83">
        <f>E16*I18</f>
        <v>89047.53829787234</v>
      </c>
      <c r="F18" s="83">
        <f t="shared" si="0"/>
        <v>93159.05169245647</v>
      </c>
      <c r="G18" s="84">
        <f>D18-E18</f>
        <v>4111.513394584137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5">
        <v>2.15</v>
      </c>
      <c r="D19" s="83">
        <f>D16*I19</f>
        <v>118515.95333655707</v>
      </c>
      <c r="E19" s="83">
        <f>E16*I19</f>
        <v>113285.32978723405</v>
      </c>
      <c r="F19" s="83">
        <f t="shared" si="0"/>
        <v>118515.95333655707</v>
      </c>
      <c r="G19" s="84">
        <f>D19-E19</f>
        <v>5230.62354932302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167576.04564796906</v>
      </c>
      <c r="E20" s="83">
        <f>E16*I20</f>
        <v>160180.18723404256</v>
      </c>
      <c r="F20" s="83">
        <f t="shared" si="0"/>
        <v>167576.04564796906</v>
      </c>
      <c r="G20" s="84">
        <f>D20-E20</f>
        <v>7395.8584139265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311</v>
      </c>
      <c r="C22" s="46">
        <v>3.5</v>
      </c>
      <c r="D22" s="87">
        <v>63490.04</v>
      </c>
      <c r="E22" s="87">
        <v>58629.47</v>
      </c>
      <c r="F22" s="87">
        <f t="shared" si="0"/>
        <v>63490.04</v>
      </c>
      <c r="G22" s="77">
        <f t="shared" si="1"/>
        <v>4860.57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2.06</v>
      </c>
      <c r="D24" s="87">
        <v>110830.88</v>
      </c>
      <c r="E24" s="87">
        <v>108685.08</v>
      </c>
      <c r="F24" s="87">
        <f>F38</f>
        <v>208593.47079999998</v>
      </c>
      <c r="G24" s="77">
        <f t="shared" si="1"/>
        <v>2145.800000000003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>
        <v>1902.11</v>
      </c>
      <c r="D25" s="90">
        <v>0</v>
      </c>
      <c r="E25" s="90">
        <v>0</v>
      </c>
      <c r="F25" s="90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2665783.37</v>
      </c>
      <c r="E26" s="77">
        <f>SUM(E27:E30)</f>
        <v>2650747.82</v>
      </c>
      <c r="F26" s="77">
        <f>SUM(F27:F30)</f>
        <v>2665783.37</v>
      </c>
      <c r="G26" s="77">
        <f t="shared" si="1"/>
        <v>15035.55000000028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301" t="s">
        <v>379</v>
      </c>
      <c r="D27" s="84">
        <v>39183.28</v>
      </c>
      <c r="E27" s="84">
        <v>38839.36</v>
      </c>
      <c r="F27" s="84">
        <f>D27</f>
        <v>39183.28</v>
      </c>
      <c r="G27" s="84">
        <f t="shared" si="1"/>
        <v>343.91999999999825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349536.46</v>
      </c>
      <c r="E28" s="84">
        <v>348847.07</v>
      </c>
      <c r="F28" s="84">
        <f>D28</f>
        <v>349536.46</v>
      </c>
      <c r="G28" s="84">
        <f t="shared" si="1"/>
        <v>689.390000000014</v>
      </c>
    </row>
    <row r="29" spans="1:7" ht="15">
      <c r="A29" s="34" t="s">
        <v>42</v>
      </c>
      <c r="B29" s="34" t="s">
        <v>143</v>
      </c>
      <c r="C29" s="294" t="s">
        <v>381</v>
      </c>
      <c r="D29" s="216">
        <v>559736.49</v>
      </c>
      <c r="E29" s="216">
        <v>552596.73</v>
      </c>
      <c r="F29" s="84">
        <f>D29</f>
        <v>559736.49</v>
      </c>
      <c r="G29" s="84">
        <f t="shared" si="1"/>
        <v>7139.760000000009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1717327.14</v>
      </c>
      <c r="E30" s="84">
        <v>1710464.66</v>
      </c>
      <c r="F30" s="84">
        <f>D30</f>
        <v>1717327.14</v>
      </c>
      <c r="G30" s="84">
        <f t="shared" si="1"/>
        <v>6862.479999999981</v>
      </c>
    </row>
    <row r="31" spans="1:9" s="102" customFormat="1" ht="23.2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669810.37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1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-187702.4667</v>
      </c>
      <c r="H34" s="62"/>
      <c r="I34" s="62"/>
      <c r="K34" s="147"/>
    </row>
    <row r="35" spans="1:11" ht="31.5" customHeight="1">
      <c r="A35" s="367" t="s">
        <v>189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2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SUM(F39:G49)</f>
        <v>208593.47079999998</v>
      </c>
      <c r="G38" s="404"/>
      <c r="H38" s="253"/>
      <c r="I38" s="254"/>
      <c r="L38" s="116"/>
    </row>
    <row r="39" spans="1:12" ht="15">
      <c r="A39" s="34" t="s">
        <v>16</v>
      </c>
      <c r="B39" s="369" t="s">
        <v>667</v>
      </c>
      <c r="C39" s="371"/>
      <c r="D39" s="119" t="s">
        <v>265</v>
      </c>
      <c r="E39" s="119">
        <v>0.06</v>
      </c>
      <c r="F39" s="420">
        <v>32427.56</v>
      </c>
      <c r="G39" s="421"/>
      <c r="H39" s="255"/>
      <c r="I39" s="256"/>
      <c r="L39" s="120"/>
    </row>
    <row r="40" spans="1:12" ht="15">
      <c r="A40" s="34" t="s">
        <v>18</v>
      </c>
      <c r="B40" s="369" t="s">
        <v>747</v>
      </c>
      <c r="C40" s="415"/>
      <c r="D40" s="119" t="s">
        <v>248</v>
      </c>
      <c r="E40" s="119">
        <v>1</v>
      </c>
      <c r="F40" s="420">
        <v>670</v>
      </c>
      <c r="G40" s="421"/>
      <c r="H40" s="40"/>
      <c r="I40" s="40"/>
      <c r="L40" s="120"/>
    </row>
    <row r="41" spans="1:12" ht="15">
      <c r="A41" s="34" t="s">
        <v>20</v>
      </c>
      <c r="B41" s="369" t="s">
        <v>747</v>
      </c>
      <c r="C41" s="415"/>
      <c r="D41" s="119" t="s">
        <v>248</v>
      </c>
      <c r="E41" s="119">
        <v>12</v>
      </c>
      <c r="F41" s="420">
        <v>1284</v>
      </c>
      <c r="G41" s="421"/>
      <c r="H41" s="40"/>
      <c r="I41" s="40"/>
      <c r="L41" s="120"/>
    </row>
    <row r="42" spans="1:12" ht="15">
      <c r="A42" s="34" t="s">
        <v>22</v>
      </c>
      <c r="B42" s="369" t="s">
        <v>747</v>
      </c>
      <c r="C42" s="415"/>
      <c r="D42" s="119" t="s">
        <v>248</v>
      </c>
      <c r="E42" s="119">
        <v>1</v>
      </c>
      <c r="F42" s="420">
        <v>110</v>
      </c>
      <c r="G42" s="421"/>
      <c r="H42" s="40"/>
      <c r="I42" s="40"/>
      <c r="L42" s="120"/>
    </row>
    <row r="43" spans="1:12" ht="15">
      <c r="A43" s="34" t="s">
        <v>24</v>
      </c>
      <c r="B43" s="369" t="s">
        <v>747</v>
      </c>
      <c r="C43" s="415"/>
      <c r="D43" s="119" t="s">
        <v>248</v>
      </c>
      <c r="E43" s="119">
        <v>4</v>
      </c>
      <c r="F43" s="420">
        <v>360</v>
      </c>
      <c r="G43" s="421"/>
      <c r="H43" s="40"/>
      <c r="I43" s="40"/>
      <c r="L43" s="120"/>
    </row>
    <row r="44" spans="1:12" ht="15">
      <c r="A44" s="34" t="s">
        <v>106</v>
      </c>
      <c r="B44" s="369" t="s">
        <v>747</v>
      </c>
      <c r="C44" s="415"/>
      <c r="D44" s="119" t="s">
        <v>754</v>
      </c>
      <c r="E44" s="154">
        <v>9</v>
      </c>
      <c r="F44" s="410">
        <v>1170</v>
      </c>
      <c r="G44" s="410"/>
      <c r="H44" s="40"/>
      <c r="I44" s="40"/>
      <c r="L44" s="120"/>
    </row>
    <row r="45" spans="1:12" ht="15">
      <c r="A45" s="34" t="s">
        <v>107</v>
      </c>
      <c r="B45" s="369" t="s">
        <v>815</v>
      </c>
      <c r="C45" s="415"/>
      <c r="D45" s="119" t="s">
        <v>265</v>
      </c>
      <c r="E45" s="154">
        <v>0.1</v>
      </c>
      <c r="F45" s="410">
        <v>14447.06</v>
      </c>
      <c r="G45" s="410"/>
      <c r="H45" s="40"/>
      <c r="I45" s="40"/>
      <c r="L45" s="120"/>
    </row>
    <row r="46" spans="1:12" ht="15">
      <c r="A46" s="34" t="s">
        <v>120</v>
      </c>
      <c r="B46" s="369" t="s">
        <v>790</v>
      </c>
      <c r="C46" s="415"/>
      <c r="D46" s="119"/>
      <c r="E46" s="154"/>
      <c r="F46" s="410">
        <v>1190</v>
      </c>
      <c r="G46" s="410"/>
      <c r="H46" s="40"/>
      <c r="I46" s="40"/>
      <c r="L46" s="120"/>
    </row>
    <row r="47" spans="1:12" ht="15">
      <c r="A47" s="34" t="s">
        <v>121</v>
      </c>
      <c r="B47" s="369" t="s">
        <v>816</v>
      </c>
      <c r="C47" s="415"/>
      <c r="D47" s="119"/>
      <c r="E47" s="154"/>
      <c r="F47" s="410">
        <v>107848</v>
      </c>
      <c r="G47" s="410"/>
      <c r="H47" s="40"/>
      <c r="I47" s="40"/>
      <c r="L47" s="120"/>
    </row>
    <row r="48" spans="1:12" ht="15">
      <c r="A48" s="34" t="s">
        <v>122</v>
      </c>
      <c r="B48" s="369" t="s">
        <v>817</v>
      </c>
      <c r="C48" s="415"/>
      <c r="D48" s="119"/>
      <c r="E48" s="154"/>
      <c r="F48" s="410">
        <v>48000</v>
      </c>
      <c r="G48" s="410"/>
      <c r="H48" s="40"/>
      <c r="I48" s="40"/>
      <c r="L48" s="120"/>
    </row>
    <row r="49" spans="1:11" s="67" customFormat="1" ht="15">
      <c r="A49" s="34" t="s">
        <v>144</v>
      </c>
      <c r="B49" s="408" t="s">
        <v>198</v>
      </c>
      <c r="C49" s="409"/>
      <c r="D49" s="125"/>
      <c r="E49" s="125"/>
      <c r="F49" s="410">
        <f>E24*1%</f>
        <v>1086.8508</v>
      </c>
      <c r="G49" s="410"/>
      <c r="H49" s="59"/>
      <c r="I49" s="59"/>
      <c r="J49" s="59"/>
      <c r="K49" s="59"/>
    </row>
    <row r="50" spans="1:7" s="59" customFormat="1" ht="9" customHeight="1">
      <c r="A50" s="170"/>
      <c r="B50" s="182"/>
      <c r="C50" s="182"/>
      <c r="D50" s="219"/>
      <c r="E50" s="219"/>
      <c r="F50" s="183"/>
      <c r="G50" s="183"/>
    </row>
    <row r="51" spans="1:11" s="59" customFormat="1" ht="15">
      <c r="A51" s="67" t="s">
        <v>55</v>
      </c>
      <c r="B51" s="67"/>
      <c r="C51" s="127" t="s">
        <v>49</v>
      </c>
      <c r="D51" s="67"/>
      <c r="E51" s="67"/>
      <c r="F51" s="67" t="s">
        <v>93</v>
      </c>
      <c r="G51" s="67"/>
      <c r="H51" s="67"/>
      <c r="I51" s="67"/>
      <c r="J51" s="67"/>
      <c r="K51" s="67"/>
    </row>
    <row r="52" spans="1:7" s="59" customFormat="1" ht="15">
      <c r="A52" s="67"/>
      <c r="B52" s="67"/>
      <c r="C52" s="127"/>
      <c r="D52" s="67"/>
      <c r="E52" s="67"/>
      <c r="F52" s="128" t="s">
        <v>516</v>
      </c>
      <c r="G52" s="67"/>
    </row>
    <row r="53" spans="1:10" s="59" customFormat="1" ht="15">
      <c r="A53" s="67" t="s">
        <v>50</v>
      </c>
      <c r="B53" s="67"/>
      <c r="C53" s="127"/>
      <c r="D53" s="67"/>
      <c r="E53" s="67"/>
      <c r="F53" s="67"/>
      <c r="G53" s="67"/>
      <c r="H53" s="158"/>
      <c r="I53" s="158"/>
      <c r="J53" s="158"/>
    </row>
    <row r="54" spans="1:11" ht="15">
      <c r="A54" s="67"/>
      <c r="B54" s="67"/>
      <c r="C54" s="129" t="s">
        <v>51</v>
      </c>
      <c r="D54" s="67"/>
      <c r="E54" s="130"/>
      <c r="F54" s="130"/>
      <c r="G54" s="130"/>
      <c r="H54" s="59"/>
      <c r="I54" s="59"/>
      <c r="J54" s="59"/>
      <c r="K54" s="59"/>
    </row>
    <row r="55" spans="1:11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</row>
  </sheetData>
  <sheetProtection/>
  <mergeCells count="36">
    <mergeCell ref="F40:G40"/>
    <mergeCell ref="F43:G43"/>
    <mergeCell ref="B41:C41"/>
    <mergeCell ref="F41:G41"/>
    <mergeCell ref="B42:C42"/>
    <mergeCell ref="F42:G42"/>
    <mergeCell ref="A1:K1"/>
    <mergeCell ref="A2:K2"/>
    <mergeCell ref="A3:K3"/>
    <mergeCell ref="A5:K5"/>
    <mergeCell ref="A9:K9"/>
    <mergeCell ref="A10:K10"/>
    <mergeCell ref="A11:K11"/>
    <mergeCell ref="A32:C32"/>
    <mergeCell ref="A35:K35"/>
    <mergeCell ref="B37:C37"/>
    <mergeCell ref="F37:G37"/>
    <mergeCell ref="A31:F31"/>
    <mergeCell ref="B49:C49"/>
    <mergeCell ref="F49:G49"/>
    <mergeCell ref="B38:C38"/>
    <mergeCell ref="F38:G38"/>
    <mergeCell ref="B39:C39"/>
    <mergeCell ref="F39:G39"/>
    <mergeCell ref="B44:C44"/>
    <mergeCell ref="F44:G44"/>
    <mergeCell ref="B40:C40"/>
    <mergeCell ref="B43:C43"/>
    <mergeCell ref="B48:C48"/>
    <mergeCell ref="F48:G48"/>
    <mergeCell ref="B45:C45"/>
    <mergeCell ref="B46:C46"/>
    <mergeCell ref="B47:C47"/>
    <mergeCell ref="F45:G45"/>
    <mergeCell ref="F46:G46"/>
    <mergeCell ref="F47:G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7030A0"/>
  </sheetPr>
  <dimension ref="A1:O48"/>
  <sheetViews>
    <sheetView zoomScalePageLayoutView="0" workbookViewId="0" topLeftCell="A31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10" width="11.57421875" style="57" hidden="1" customWidth="1" outlineLevel="1"/>
    <col min="11" max="11" width="10.140625" style="57" hidden="1" customWidth="1" outlineLevel="1"/>
    <col min="12" max="12" width="10.421875" style="57" customWidth="1" collapsed="1"/>
    <col min="13" max="13" width="9.140625" style="57" customWidth="1"/>
    <col min="14" max="14" width="10.00390625" style="57" bestFit="1" customWidth="1"/>
    <col min="15" max="15" width="15.8515625" style="57" customWidth="1"/>
    <col min="16" max="16384" width="9.140625" style="57" customWidth="1"/>
  </cols>
  <sheetData>
    <row r="1" spans="1:12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2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</row>
    <row r="7" spans="1:9" s="59" customFormat="1" ht="16.5" customHeight="1">
      <c r="A7" s="59" t="s">
        <v>2</v>
      </c>
      <c r="F7" s="60" t="s">
        <v>220</v>
      </c>
      <c r="H7" s="60"/>
      <c r="I7" s="60"/>
    </row>
    <row r="8" spans="1:11" s="59" customFormat="1" ht="12.75">
      <c r="A8" s="59" t="s">
        <v>3</v>
      </c>
      <c r="F8" s="310" t="s">
        <v>451</v>
      </c>
      <c r="H8" s="60">
        <f>3157.8+20.3</f>
        <v>3178.1000000000004</v>
      </c>
      <c r="I8" s="280">
        <v>20.3</v>
      </c>
      <c r="J8" s="61">
        <f>49.8+36+98.1</f>
        <v>183.89999999999998</v>
      </c>
      <c r="K8" s="61">
        <f>3157.8+20.3+98.1+36+49.8</f>
        <v>3362.0000000000005</v>
      </c>
    </row>
    <row r="9" spans="1:12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</row>
    <row r="10" spans="1:12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</row>
    <row r="11" spans="1:12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</row>
    <row r="12" spans="1:10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  <c r="J12" s="62"/>
    </row>
    <row r="13" spans="1:10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'[1]Хрустальная 56'!$G$35</f>
        <v>68791.2303</v>
      </c>
      <c r="H13" s="62"/>
      <c r="I13" s="62"/>
      <c r="J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5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424093.71</v>
      </c>
      <c r="E16" s="76">
        <v>375564.78</v>
      </c>
      <c r="F16" s="76">
        <f aca="true" t="shared" si="0" ref="F16:F23">D16</f>
        <v>424093.71</v>
      </c>
      <c r="G16" s="77">
        <f>D16-E16</f>
        <v>48528.92999999999</v>
      </c>
      <c r="H16" s="78">
        <f>C16</f>
        <v>10.34</v>
      </c>
      <c r="I16" s="78"/>
      <c r="J16" s="79"/>
      <c r="K16" s="79"/>
      <c r="L16" s="79"/>
      <c r="N16" s="78"/>
      <c r="O16" s="80"/>
    </row>
    <row r="17" spans="1:10" s="59" customFormat="1" ht="15">
      <c r="A17" s="81" t="s">
        <v>16</v>
      </c>
      <c r="B17" s="34" t="s">
        <v>17</v>
      </c>
      <c r="C17" s="82">
        <v>3.46</v>
      </c>
      <c r="D17" s="83">
        <f>D16*J17</f>
        <v>141911.43487427468</v>
      </c>
      <c r="E17" s="83">
        <f>E16*J17</f>
        <v>125672.54727272729</v>
      </c>
      <c r="F17" s="83">
        <f t="shared" si="0"/>
        <v>141911.43487427468</v>
      </c>
      <c r="G17" s="84">
        <f>D17-E17</f>
        <v>16238.887601547394</v>
      </c>
      <c r="H17" s="78">
        <f>C17</f>
        <v>3.46</v>
      </c>
      <c r="I17" s="78"/>
      <c r="J17" s="59">
        <f>H17/H16</f>
        <v>0.33462282398452614</v>
      </c>
    </row>
    <row r="18" spans="1:10" s="59" customFormat="1" ht="15">
      <c r="A18" s="81" t="s">
        <v>18</v>
      </c>
      <c r="B18" s="34" t="s">
        <v>19</v>
      </c>
      <c r="C18" s="85">
        <v>1.69</v>
      </c>
      <c r="D18" s="83">
        <f>D16*J18</f>
        <v>69315.12281431335</v>
      </c>
      <c r="E18" s="83">
        <f>E16*J18</f>
        <v>61383.41181818182</v>
      </c>
      <c r="F18" s="83">
        <f t="shared" si="0"/>
        <v>69315.12281431335</v>
      </c>
      <c r="G18" s="84">
        <f>D18-E18</f>
        <v>7931.710996131529</v>
      </c>
      <c r="H18" s="78">
        <f>C18</f>
        <v>1.69</v>
      </c>
      <c r="I18" s="78"/>
      <c r="J18" s="59">
        <f>H18/H16</f>
        <v>0.1634429400386847</v>
      </c>
    </row>
    <row r="19" spans="1:10" s="59" customFormat="1" ht="15">
      <c r="A19" s="81" t="s">
        <v>20</v>
      </c>
      <c r="B19" s="34" t="s">
        <v>21</v>
      </c>
      <c r="C19" s="85">
        <v>2.15</v>
      </c>
      <c r="D19" s="83">
        <f>D16*J19</f>
        <v>88181.96097678918</v>
      </c>
      <c r="E19" s="83">
        <f>E16*J19</f>
        <v>78091.32272727274</v>
      </c>
      <c r="F19" s="83">
        <f t="shared" si="0"/>
        <v>88181.96097678918</v>
      </c>
      <c r="G19" s="84">
        <f>D19-E19</f>
        <v>10090.638249516443</v>
      </c>
      <c r="H19" s="78">
        <f>C19</f>
        <v>2.15</v>
      </c>
      <c r="I19" s="78"/>
      <c r="J19" s="59">
        <f>H19/H16</f>
        <v>0.2079303675048356</v>
      </c>
    </row>
    <row r="20" spans="1:10" s="59" customFormat="1" ht="15">
      <c r="A20" s="81" t="s">
        <v>22</v>
      </c>
      <c r="B20" s="34" t="s">
        <v>23</v>
      </c>
      <c r="C20" s="82">
        <v>3.04</v>
      </c>
      <c r="D20" s="83">
        <f>D16*J20</f>
        <v>124685.19133462284</v>
      </c>
      <c r="E20" s="83">
        <f>E16*J20</f>
        <v>110417.4981818182</v>
      </c>
      <c r="F20" s="83">
        <f t="shared" si="0"/>
        <v>124685.19133462284</v>
      </c>
      <c r="G20" s="84">
        <f>D20-E20</f>
        <v>14267.69315280464</v>
      </c>
      <c r="H20" s="78">
        <f>C20</f>
        <v>3.04</v>
      </c>
      <c r="I20" s="78"/>
      <c r="J20" s="59">
        <f>H20/H16</f>
        <v>0.2940038684719536</v>
      </c>
    </row>
    <row r="21" spans="1:12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  <c r="L21" s="88"/>
    </row>
    <row r="22" spans="1:12" s="89" customFormat="1" ht="14.25">
      <c r="A22" s="86" t="s">
        <v>27</v>
      </c>
      <c r="B22" s="86" t="s">
        <v>28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  <c r="L22" s="88"/>
    </row>
    <row r="23" spans="1:12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  <c r="L23" s="88"/>
    </row>
    <row r="24" spans="1:12" s="89" customFormat="1" ht="14.25">
      <c r="A24" s="86" t="s">
        <v>31</v>
      </c>
      <c r="B24" s="86" t="s">
        <v>119</v>
      </c>
      <c r="C24" s="95">
        <v>2.06</v>
      </c>
      <c r="D24" s="87">
        <v>84514.82</v>
      </c>
      <c r="E24" s="87">
        <v>74874.52</v>
      </c>
      <c r="F24" s="87">
        <f>F38</f>
        <v>35526.7452</v>
      </c>
      <c r="G24" s="77">
        <f t="shared" si="1"/>
        <v>9640.300000000003</v>
      </c>
      <c r="H24" s="88"/>
      <c r="I24" s="88"/>
      <c r="J24" s="88"/>
      <c r="K24" s="88"/>
      <c r="L24" s="88"/>
    </row>
    <row r="25" spans="1:12" ht="14.25">
      <c r="A25" s="41" t="s">
        <v>33</v>
      </c>
      <c r="B25" s="41" t="s">
        <v>168</v>
      </c>
      <c r="C25" s="97">
        <v>12.54</v>
      </c>
      <c r="D25" s="90">
        <v>0</v>
      </c>
      <c r="E25" s="90">
        <v>0</v>
      </c>
      <c r="F25" s="90">
        <f>D25</f>
        <v>0</v>
      </c>
      <c r="G25" s="77">
        <f t="shared" si="1"/>
        <v>0</v>
      </c>
      <c r="H25" s="98"/>
      <c r="I25" s="98"/>
      <c r="J25" s="98"/>
      <c r="K25" s="98"/>
      <c r="L25" s="98"/>
    </row>
    <row r="26" spans="1:12" ht="14.25">
      <c r="A26" s="41" t="s">
        <v>35</v>
      </c>
      <c r="B26" s="41" t="s">
        <v>36</v>
      </c>
      <c r="C26" s="97"/>
      <c r="D26" s="77">
        <f>SUM(D27:D30)</f>
        <v>1878088.0899999999</v>
      </c>
      <c r="E26" s="77">
        <f>SUM(E27:E30)</f>
        <v>1833445.96</v>
      </c>
      <c r="F26" s="77">
        <f>SUM(F27:F30)</f>
        <v>1878088.0899999999</v>
      </c>
      <c r="G26" s="77">
        <f t="shared" si="1"/>
        <v>44642.12999999989</v>
      </c>
      <c r="H26" s="98"/>
      <c r="I26" s="98"/>
      <c r="J26" s="98"/>
      <c r="K26" s="98"/>
      <c r="L26" s="98"/>
    </row>
    <row r="27" spans="1:7" ht="15">
      <c r="A27" s="34" t="s">
        <v>37</v>
      </c>
      <c r="B27" s="34" t="s">
        <v>172</v>
      </c>
      <c r="C27" s="301" t="s">
        <v>379</v>
      </c>
      <c r="D27" s="84">
        <v>31173.66</v>
      </c>
      <c r="E27" s="84">
        <v>27383.91</v>
      </c>
      <c r="F27" s="84">
        <f>D27</f>
        <v>31173.66</v>
      </c>
      <c r="G27" s="84">
        <f t="shared" si="1"/>
        <v>3789.75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246567.71</v>
      </c>
      <c r="E28" s="84">
        <v>248196.61</v>
      </c>
      <c r="F28" s="84">
        <f>D28</f>
        <v>246567.71</v>
      </c>
      <c r="G28" s="84">
        <f t="shared" si="1"/>
        <v>-1628.8999999999942</v>
      </c>
    </row>
    <row r="29" spans="1:7" ht="15">
      <c r="A29" s="34" t="s">
        <v>42</v>
      </c>
      <c r="B29" s="34" t="s">
        <v>143</v>
      </c>
      <c r="C29" s="294" t="s">
        <v>381</v>
      </c>
      <c r="D29" s="216">
        <v>447910.59</v>
      </c>
      <c r="E29" s="216">
        <v>441409.88</v>
      </c>
      <c r="F29" s="84">
        <f>D29</f>
        <v>447910.59</v>
      </c>
      <c r="G29" s="84">
        <f t="shared" si="1"/>
        <v>6500.710000000021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1152436.13</v>
      </c>
      <c r="E30" s="84">
        <v>1116455.56</v>
      </c>
      <c r="F30" s="84">
        <f>D30</f>
        <v>1152436.13</v>
      </c>
      <c r="G30" s="84">
        <f t="shared" si="1"/>
        <v>35980.56999999983</v>
      </c>
    </row>
    <row r="31" spans="1:10" s="102" customFormat="1" ht="16.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  <c r="J31" s="101"/>
    </row>
    <row r="32" spans="1:10" s="67" customFormat="1" ht="15.75" thickBot="1">
      <c r="A32" s="378" t="s">
        <v>383</v>
      </c>
      <c r="B32" s="379"/>
      <c r="C32" s="379"/>
      <c r="D32" s="65">
        <v>543435.83</v>
      </c>
      <c r="E32" s="66"/>
      <c r="F32" s="66"/>
      <c r="G32" s="66"/>
      <c r="H32" s="62"/>
      <c r="I32" s="62"/>
      <c r="J32" s="62"/>
    </row>
    <row r="33" spans="1:10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  <c r="J33" s="62"/>
    </row>
    <row r="34" spans="1:12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108139.00510000001</v>
      </c>
      <c r="H34" s="62"/>
      <c r="I34" s="62"/>
      <c r="J34" s="62"/>
      <c r="L34" s="147"/>
    </row>
    <row r="35" spans="1:12" ht="31.5" customHeight="1">
      <c r="A35" s="367" t="s">
        <v>189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</row>
    <row r="37" spans="1:13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1"/>
      <c r="J37" s="252"/>
      <c r="M37" s="108"/>
    </row>
    <row r="38" spans="1:13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SUM(F39:G42)</f>
        <v>35526.7452</v>
      </c>
      <c r="G38" s="404"/>
      <c r="H38" s="253"/>
      <c r="I38" s="253"/>
      <c r="J38" s="254"/>
      <c r="M38" s="116"/>
    </row>
    <row r="39" spans="1:13" ht="15">
      <c r="A39" s="34" t="s">
        <v>16</v>
      </c>
      <c r="B39" s="369" t="s">
        <v>747</v>
      </c>
      <c r="C39" s="415"/>
      <c r="D39" s="119" t="s">
        <v>248</v>
      </c>
      <c r="E39" s="154">
        <v>2</v>
      </c>
      <c r="F39" s="410">
        <v>830</v>
      </c>
      <c r="G39" s="410"/>
      <c r="H39" s="255"/>
      <c r="I39" s="255"/>
      <c r="J39" s="256"/>
      <c r="M39" s="120"/>
    </row>
    <row r="40" spans="1:13" ht="15">
      <c r="A40" s="34" t="s">
        <v>18</v>
      </c>
      <c r="B40" s="369" t="s">
        <v>845</v>
      </c>
      <c r="C40" s="415"/>
      <c r="D40" s="119"/>
      <c r="E40" s="154"/>
      <c r="F40" s="410">
        <v>25948</v>
      </c>
      <c r="G40" s="410"/>
      <c r="H40" s="40"/>
      <c r="I40" s="40"/>
      <c r="J40" s="40"/>
      <c r="M40" s="120"/>
    </row>
    <row r="41" spans="1:13" ht="15">
      <c r="A41" s="34" t="s">
        <v>20</v>
      </c>
      <c r="B41" s="369" t="s">
        <v>846</v>
      </c>
      <c r="C41" s="415"/>
      <c r="D41" s="119"/>
      <c r="E41" s="154"/>
      <c r="F41" s="410">
        <v>8000</v>
      </c>
      <c r="G41" s="410"/>
      <c r="H41" s="40"/>
      <c r="I41" s="40"/>
      <c r="J41" s="40"/>
      <c r="M41" s="120"/>
    </row>
    <row r="42" spans="1:12" s="67" customFormat="1" ht="15">
      <c r="A42" s="34" t="s">
        <v>22</v>
      </c>
      <c r="B42" s="408" t="s">
        <v>198</v>
      </c>
      <c r="C42" s="409"/>
      <c r="D42" s="125"/>
      <c r="E42" s="125"/>
      <c r="F42" s="410">
        <f>E24*1%</f>
        <v>748.7452000000001</v>
      </c>
      <c r="G42" s="410"/>
      <c r="H42" s="59"/>
      <c r="I42" s="59"/>
      <c r="J42" s="59"/>
      <c r="K42" s="59"/>
      <c r="L42" s="59"/>
    </row>
    <row r="43" s="59" customFormat="1" ht="9" customHeight="1"/>
    <row r="44" spans="1:12" s="59" customFormat="1" ht="15">
      <c r="A44" s="67" t="s">
        <v>55</v>
      </c>
      <c r="B44" s="67"/>
      <c r="C44" s="127" t="s">
        <v>49</v>
      </c>
      <c r="D44" s="67"/>
      <c r="E44" s="67"/>
      <c r="F44" s="67" t="s">
        <v>93</v>
      </c>
      <c r="G44" s="67"/>
      <c r="H44" s="67"/>
      <c r="I44" s="67"/>
      <c r="J44" s="67"/>
      <c r="K44" s="67"/>
      <c r="L44" s="67"/>
    </row>
    <row r="45" spans="1:7" s="59" customFormat="1" ht="15">
      <c r="A45" s="67"/>
      <c r="B45" s="67"/>
      <c r="C45" s="127"/>
      <c r="D45" s="67"/>
      <c r="E45" s="67"/>
      <c r="F45" s="128" t="s">
        <v>516</v>
      </c>
      <c r="G45" s="67"/>
    </row>
    <row r="46" spans="1:11" s="59" customFormat="1" ht="15">
      <c r="A46" s="67" t="s">
        <v>50</v>
      </c>
      <c r="B46" s="67"/>
      <c r="C46" s="127"/>
      <c r="D46" s="67"/>
      <c r="E46" s="67"/>
      <c r="F46" s="67"/>
      <c r="G46" s="67"/>
      <c r="H46" s="158"/>
      <c r="I46" s="158"/>
      <c r="J46" s="158"/>
      <c r="K46" s="158"/>
    </row>
    <row r="47" spans="1:12" ht="15">
      <c r="A47" s="67"/>
      <c r="B47" s="67"/>
      <c r="C47" s="129" t="s">
        <v>51</v>
      </c>
      <c r="D47" s="67"/>
      <c r="E47" s="130"/>
      <c r="F47" s="130"/>
      <c r="G47" s="130"/>
      <c r="H47" s="59"/>
      <c r="I47" s="59"/>
      <c r="J47" s="59"/>
      <c r="K47" s="59"/>
      <c r="L47" s="59"/>
    </row>
    <row r="48" spans="1:12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</sheetData>
  <sheetProtection/>
  <mergeCells count="22">
    <mergeCell ref="A1:L1"/>
    <mergeCell ref="A2:L2"/>
    <mergeCell ref="A3:L3"/>
    <mergeCell ref="A5:L5"/>
    <mergeCell ref="A9:L9"/>
    <mergeCell ref="A10:L10"/>
    <mergeCell ref="A11:L11"/>
    <mergeCell ref="A32:C32"/>
    <mergeCell ref="A35:L35"/>
    <mergeCell ref="B37:C37"/>
    <mergeCell ref="F37:G37"/>
    <mergeCell ref="A31:F31"/>
    <mergeCell ref="B42:C42"/>
    <mergeCell ref="F42:G42"/>
    <mergeCell ref="B38:C38"/>
    <mergeCell ref="F38:G38"/>
    <mergeCell ref="B39:C39"/>
    <mergeCell ref="F39:G39"/>
    <mergeCell ref="B41:C41"/>
    <mergeCell ref="B40:C40"/>
    <mergeCell ref="F40:G40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7030A0"/>
  </sheetPr>
  <dimension ref="A1:N50"/>
  <sheetViews>
    <sheetView zoomScalePageLayoutView="0" workbookViewId="0" topLeftCell="A25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249" t="s">
        <v>225</v>
      </c>
      <c r="G7" s="258"/>
      <c r="H7" s="60"/>
    </row>
    <row r="8" spans="1:10" s="59" customFormat="1" ht="12.75">
      <c r="A8" s="59" t="s">
        <v>3</v>
      </c>
      <c r="F8" s="309" t="s">
        <v>452</v>
      </c>
      <c r="G8" s="258"/>
      <c r="H8" s="60"/>
      <c r="I8" s="61">
        <v>104</v>
      </c>
      <c r="J8" s="61">
        <f>3187.8+104</f>
        <v>3291.8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'[1]Хрустальная 62'!$G$35</f>
        <v>-229224.70070000002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430342.9</v>
      </c>
      <c r="E16" s="76">
        <v>411767.75</v>
      </c>
      <c r="F16" s="76">
        <f aca="true" t="shared" si="0" ref="F16:F23">D16</f>
        <v>430342.9</v>
      </c>
      <c r="G16" s="77">
        <f>D16-E16</f>
        <v>18575.150000000023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144002.55647969054</v>
      </c>
      <c r="E17" s="83">
        <f>E16*I17</f>
        <v>137786.88733075437</v>
      </c>
      <c r="F17" s="83">
        <f t="shared" si="0"/>
        <v>144002.55647969054</v>
      </c>
      <c r="G17" s="84">
        <f>D17-E17</f>
        <v>6215.669148936169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70336.50880077369</v>
      </c>
      <c r="E18" s="83">
        <f>E16*I18</f>
        <v>67300.5316731141</v>
      </c>
      <c r="F18" s="83">
        <f t="shared" si="0"/>
        <v>70336.50880077369</v>
      </c>
      <c r="G18" s="84">
        <f>D18-E18</f>
        <v>3035.9771276595857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5">
        <v>2.15</v>
      </c>
      <c r="D19" s="83">
        <f>D16*I19</f>
        <v>89481.35735009672</v>
      </c>
      <c r="E19" s="83">
        <f>E16*I19</f>
        <v>85619.01958413927</v>
      </c>
      <c r="F19" s="83">
        <f t="shared" si="0"/>
        <v>89481.35735009672</v>
      </c>
      <c r="G19" s="84">
        <f>D19-E19</f>
        <v>3862.337765957447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126522.47736943909</v>
      </c>
      <c r="E20" s="83">
        <f>E16*I20</f>
        <v>121061.31141199227</v>
      </c>
      <c r="F20" s="83">
        <f t="shared" si="0"/>
        <v>126522.47736943909</v>
      </c>
      <c r="G20" s="84">
        <f>D20-E20</f>
        <v>5461.165957446821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2.06</v>
      </c>
      <c r="D24" s="87">
        <v>91069.73</v>
      </c>
      <c r="E24" s="87">
        <v>106217.62</v>
      </c>
      <c r="F24" s="87">
        <f>F38</f>
        <v>192882.5662</v>
      </c>
      <c r="G24" s="77">
        <f t="shared" si="1"/>
        <v>-15147.89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>
        <v>12.54</v>
      </c>
      <c r="D25" s="90">
        <v>0</v>
      </c>
      <c r="E25" s="90">
        <v>0</v>
      </c>
      <c r="F25" s="90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2220663.14</v>
      </c>
      <c r="E26" s="77">
        <f>SUM(E27:E30)</f>
        <v>2320902.6900000004</v>
      </c>
      <c r="F26" s="77">
        <f>SUM(F27:F30)</f>
        <v>2220663.14</v>
      </c>
      <c r="G26" s="77">
        <f t="shared" si="1"/>
        <v>-100239.55000000028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301" t="s">
        <v>379</v>
      </c>
      <c r="D27" s="84">
        <v>34468.67</v>
      </c>
      <c r="E27" s="84">
        <v>34951.71</v>
      </c>
      <c r="F27" s="84">
        <f>D27</f>
        <v>34468.67</v>
      </c>
      <c r="G27" s="84">
        <f t="shared" si="1"/>
        <v>-483.0400000000009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389013.4</v>
      </c>
      <c r="E28" s="84">
        <v>411411.21</v>
      </c>
      <c r="F28" s="84">
        <f>D28</f>
        <v>389013.4</v>
      </c>
      <c r="G28" s="84">
        <f t="shared" si="1"/>
        <v>-22397.809999999998</v>
      </c>
    </row>
    <row r="29" spans="1:7" ht="15">
      <c r="A29" s="34" t="s">
        <v>42</v>
      </c>
      <c r="B29" s="34" t="s">
        <v>143</v>
      </c>
      <c r="C29" s="294" t="s">
        <v>381</v>
      </c>
      <c r="D29" s="216">
        <v>633930.54</v>
      </c>
      <c r="E29" s="216">
        <v>661662.01</v>
      </c>
      <c r="F29" s="84">
        <f>D29</f>
        <v>633930.54</v>
      </c>
      <c r="G29" s="84">
        <f t="shared" si="1"/>
        <v>-27731.469999999972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1163250.53</v>
      </c>
      <c r="E30" s="84">
        <v>1212877.76</v>
      </c>
      <c r="F30" s="84">
        <f>D30</f>
        <v>1163250.53</v>
      </c>
      <c r="G30" s="84">
        <f t="shared" si="1"/>
        <v>-49627.22999999998</v>
      </c>
    </row>
    <row r="31" spans="1:9" s="102" customFormat="1" ht="16.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728809.9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1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-315889.64690000005</v>
      </c>
      <c r="H34" s="62"/>
      <c r="I34" s="62"/>
      <c r="K34" s="147"/>
    </row>
    <row r="35" spans="1:11" ht="31.5" customHeight="1">
      <c r="A35" s="367" t="s">
        <v>189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2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SUM(F39:G44)</f>
        <v>192882.5662</v>
      </c>
      <c r="G38" s="404"/>
      <c r="H38" s="253"/>
      <c r="I38" s="254"/>
      <c r="L38" s="116"/>
    </row>
    <row r="39" spans="1:12" ht="15">
      <c r="A39" s="34" t="s">
        <v>16</v>
      </c>
      <c r="B39" s="369" t="s">
        <v>671</v>
      </c>
      <c r="C39" s="371"/>
      <c r="D39" s="119" t="s">
        <v>240</v>
      </c>
      <c r="E39" s="119">
        <v>0.01</v>
      </c>
      <c r="F39" s="420">
        <v>2021.31</v>
      </c>
      <c r="G39" s="421"/>
      <c r="H39" s="255"/>
      <c r="I39" s="256"/>
      <c r="L39" s="120"/>
    </row>
    <row r="40" spans="1:12" ht="15">
      <c r="A40" s="34" t="s">
        <v>18</v>
      </c>
      <c r="B40" s="369" t="s">
        <v>672</v>
      </c>
      <c r="C40" s="371"/>
      <c r="D40" s="119" t="s">
        <v>265</v>
      </c>
      <c r="E40" s="119">
        <v>1.3</v>
      </c>
      <c r="F40" s="420">
        <v>81714.41</v>
      </c>
      <c r="G40" s="421"/>
      <c r="H40" s="40"/>
      <c r="I40" s="40"/>
      <c r="L40" s="120"/>
    </row>
    <row r="41" spans="1:12" ht="15" customHeight="1">
      <c r="A41" s="34" t="s">
        <v>20</v>
      </c>
      <c r="B41" s="369" t="s">
        <v>673</v>
      </c>
      <c r="C41" s="371"/>
      <c r="D41" s="119" t="s">
        <v>249</v>
      </c>
      <c r="E41" s="119"/>
      <c r="F41" s="420">
        <v>45000</v>
      </c>
      <c r="G41" s="421"/>
      <c r="H41" s="40"/>
      <c r="I41" s="40"/>
      <c r="L41" s="120"/>
    </row>
    <row r="42" spans="1:12" ht="15">
      <c r="A42" s="34" t="s">
        <v>22</v>
      </c>
      <c r="B42" s="369" t="s">
        <v>755</v>
      </c>
      <c r="C42" s="371"/>
      <c r="D42" s="119" t="s">
        <v>248</v>
      </c>
      <c r="E42" s="119">
        <v>7</v>
      </c>
      <c r="F42" s="420">
        <v>20090</v>
      </c>
      <c r="G42" s="421"/>
      <c r="H42" s="40"/>
      <c r="I42" s="40"/>
      <c r="L42" s="120"/>
    </row>
    <row r="43" spans="1:12" ht="15">
      <c r="A43" s="34" t="s">
        <v>24</v>
      </c>
      <c r="B43" s="369" t="s">
        <v>175</v>
      </c>
      <c r="C43" s="371"/>
      <c r="D43" s="119" t="s">
        <v>265</v>
      </c>
      <c r="E43" s="119">
        <v>0.65</v>
      </c>
      <c r="F43" s="420">
        <v>42994.67</v>
      </c>
      <c r="G43" s="421"/>
      <c r="H43" s="40"/>
      <c r="I43" s="40"/>
      <c r="L43" s="120"/>
    </row>
    <row r="44" spans="1:11" s="67" customFormat="1" ht="15">
      <c r="A44" s="34" t="s">
        <v>24</v>
      </c>
      <c r="B44" s="408" t="s">
        <v>198</v>
      </c>
      <c r="C44" s="409"/>
      <c r="D44" s="125"/>
      <c r="E44" s="125"/>
      <c r="F44" s="410">
        <f>E24*1%</f>
        <v>1062.1761999999999</v>
      </c>
      <c r="G44" s="410"/>
      <c r="H44" s="59"/>
      <c r="I44" s="59"/>
      <c r="J44" s="59"/>
      <c r="K44" s="59"/>
    </row>
    <row r="45" s="59" customFormat="1" ht="9" customHeight="1"/>
    <row r="46" spans="1:11" s="59" customFormat="1" ht="15">
      <c r="A46" s="67" t="s">
        <v>55</v>
      </c>
      <c r="B46" s="67"/>
      <c r="C46" s="127" t="s">
        <v>49</v>
      </c>
      <c r="D46" s="67"/>
      <c r="E46" s="67"/>
      <c r="F46" s="67" t="s">
        <v>93</v>
      </c>
      <c r="G46" s="67"/>
      <c r="H46" s="67"/>
      <c r="I46" s="67"/>
      <c r="J46" s="67"/>
      <c r="K46" s="67"/>
    </row>
    <row r="47" spans="1:7" s="59" customFormat="1" ht="15">
      <c r="A47" s="67"/>
      <c r="B47" s="67"/>
      <c r="C47" s="127"/>
      <c r="D47" s="67"/>
      <c r="E47" s="67"/>
      <c r="F47" s="128" t="s">
        <v>516</v>
      </c>
      <c r="G47" s="67"/>
    </row>
    <row r="48" spans="1:10" s="59" customFormat="1" ht="15">
      <c r="A48" s="67" t="s">
        <v>50</v>
      </c>
      <c r="B48" s="67"/>
      <c r="C48" s="127"/>
      <c r="D48" s="67"/>
      <c r="E48" s="67"/>
      <c r="F48" s="67"/>
      <c r="G48" s="67"/>
      <c r="H48" s="158"/>
      <c r="I48" s="158"/>
      <c r="J48" s="158"/>
    </row>
    <row r="49" spans="1:11" ht="15">
      <c r="A49" s="67"/>
      <c r="B49" s="67"/>
      <c r="C49" s="129" t="s">
        <v>51</v>
      </c>
      <c r="D49" s="67"/>
      <c r="E49" s="130"/>
      <c r="F49" s="130"/>
      <c r="G49" s="130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</sheetData>
  <sheetProtection/>
  <mergeCells count="26">
    <mergeCell ref="A31:F31"/>
    <mergeCell ref="A11:K11"/>
    <mergeCell ref="A1:K1"/>
    <mergeCell ref="A2:K2"/>
    <mergeCell ref="A3:K3"/>
    <mergeCell ref="A5:K5"/>
    <mergeCell ref="A9:K9"/>
    <mergeCell ref="A10:K10"/>
    <mergeCell ref="A32:C32"/>
    <mergeCell ref="A35:K35"/>
    <mergeCell ref="B37:C37"/>
    <mergeCell ref="F37:G37"/>
    <mergeCell ref="B41:C41"/>
    <mergeCell ref="F41:G41"/>
    <mergeCell ref="B38:C38"/>
    <mergeCell ref="F38:G38"/>
    <mergeCell ref="B39:C39"/>
    <mergeCell ref="F39:G39"/>
    <mergeCell ref="B44:C44"/>
    <mergeCell ref="F44:G44"/>
    <mergeCell ref="B40:C40"/>
    <mergeCell ref="F40:G40"/>
    <mergeCell ref="B43:C43"/>
    <mergeCell ref="F43:G43"/>
    <mergeCell ref="B42:C42"/>
    <mergeCell ref="F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1"/>
  <sheetViews>
    <sheetView zoomScalePageLayoutView="0" workbookViewId="0" topLeftCell="A19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11.421875" style="57" bestFit="1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219</v>
      </c>
      <c r="H7" s="60"/>
    </row>
    <row r="8" spans="1:10" s="59" customFormat="1" ht="12.75">
      <c r="A8" s="59" t="s">
        <v>3</v>
      </c>
      <c r="F8" s="310" t="s">
        <v>453</v>
      </c>
      <c r="H8" s="280">
        <f>107.5+115.3</f>
        <v>222.8</v>
      </c>
      <c r="I8" s="59">
        <f>4409.88+222.8</f>
        <v>4632.68</v>
      </c>
      <c r="J8" s="59">
        <f>I8-H8</f>
        <v>4409.88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318</v>
      </c>
      <c r="B13" s="64"/>
      <c r="C13" s="64"/>
      <c r="D13" s="69"/>
      <c r="E13" s="70"/>
      <c r="F13" s="70"/>
      <c r="G13" s="65">
        <f>'[1]Хрустальная 66'!$G$35</f>
        <v>-65275.163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540588.38</v>
      </c>
      <c r="E16" s="76">
        <v>525328.68</v>
      </c>
      <c r="F16" s="76">
        <f aca="true" t="shared" si="0" ref="F16:F23">D16</f>
        <v>540588.38</v>
      </c>
      <c r="G16" s="77">
        <f>D16-E16</f>
        <v>15259.699999999953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180893.21032882013</v>
      </c>
      <c r="E17" s="83">
        <f>E16*I17</f>
        <v>175786.96642166347</v>
      </c>
      <c r="F17" s="83">
        <f t="shared" si="0"/>
        <v>180893.21032882013</v>
      </c>
      <c r="G17" s="84">
        <f>D17-E17</f>
        <v>5106.243907156662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88355.3541779497</v>
      </c>
      <c r="E18" s="83">
        <f>E16*I18</f>
        <v>85861.26394584139</v>
      </c>
      <c r="F18" s="83">
        <f t="shared" si="0"/>
        <v>88355.3541779497</v>
      </c>
      <c r="G18" s="84">
        <f>D18-E18</f>
        <v>2494.090232108312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5">
        <v>2.15</v>
      </c>
      <c r="D19" s="83">
        <f>D16*I19</f>
        <v>112404.74052224372</v>
      </c>
      <c r="E19" s="83">
        <f>E16*I19</f>
        <v>109231.78549323019</v>
      </c>
      <c r="F19" s="83">
        <f t="shared" si="0"/>
        <v>112404.74052224372</v>
      </c>
      <c r="G19" s="84">
        <f>D19-E19</f>
        <v>3172.9550290135376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158935.07497098646</v>
      </c>
      <c r="E20" s="83">
        <f>E16*I20</f>
        <v>154448.66413926502</v>
      </c>
      <c r="F20" s="83">
        <f t="shared" si="0"/>
        <v>158935.07497098646</v>
      </c>
      <c r="G20" s="84">
        <f>D20-E20</f>
        <v>4486.410831721441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2.06</v>
      </c>
      <c r="D24" s="87">
        <v>107765.34</v>
      </c>
      <c r="E24" s="87">
        <v>104747.95</v>
      </c>
      <c r="F24" s="87">
        <f>F38</f>
        <v>38091.7395</v>
      </c>
      <c r="G24" s="77">
        <f t="shared" si="1"/>
        <v>3017.3899999999994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>
        <v>0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2029508.6600000001</v>
      </c>
      <c r="E26" s="77">
        <f>SUM(E27:E30)</f>
        <v>1984323.6099999999</v>
      </c>
      <c r="F26" s="77">
        <f>SUM(F27:F30)</f>
        <v>2029508.6600000001</v>
      </c>
      <c r="G26" s="77">
        <f t="shared" si="1"/>
        <v>45185.05000000028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301" t="s">
        <v>379</v>
      </c>
      <c r="D27" s="84">
        <v>13729.59</v>
      </c>
      <c r="E27" s="84">
        <v>13224.41</v>
      </c>
      <c r="F27" s="84">
        <f>D27</f>
        <v>13729.59</v>
      </c>
      <c r="G27" s="84">
        <f t="shared" si="1"/>
        <v>505.1800000000003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378252.44</v>
      </c>
      <c r="E28" s="84">
        <v>387320.54</v>
      </c>
      <c r="F28" s="84">
        <f>D28</f>
        <v>378252.44</v>
      </c>
      <c r="G28" s="84">
        <f t="shared" si="1"/>
        <v>-9068.099999999977</v>
      </c>
    </row>
    <row r="29" spans="1:7" ht="24.75" customHeight="1">
      <c r="A29" s="34" t="s">
        <v>42</v>
      </c>
      <c r="B29" s="34" t="s">
        <v>143</v>
      </c>
      <c r="C29" s="294" t="s">
        <v>381</v>
      </c>
      <c r="D29" s="216">
        <v>28311.35</v>
      </c>
      <c r="E29" s="216">
        <v>27288.87</v>
      </c>
      <c r="F29" s="84">
        <f>D29</f>
        <v>28311.35</v>
      </c>
      <c r="G29" s="84">
        <f t="shared" si="1"/>
        <v>1022.4799999999996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1609215.28</v>
      </c>
      <c r="E30" s="84">
        <v>1556489.79</v>
      </c>
      <c r="F30" s="84">
        <f>D30</f>
        <v>1609215.28</v>
      </c>
      <c r="G30" s="84">
        <f t="shared" si="1"/>
        <v>52725.48999999999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672299.23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1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1381.0474999999933</v>
      </c>
      <c r="H34" s="62"/>
      <c r="I34" s="62"/>
      <c r="K34" s="147"/>
    </row>
    <row r="35" spans="1:11" ht="31.5" customHeight="1">
      <c r="A35" s="367" t="s">
        <v>189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2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SUM(F39:G45)</f>
        <v>38091.7395</v>
      </c>
      <c r="G38" s="404"/>
      <c r="H38" s="253"/>
      <c r="I38" s="254"/>
      <c r="L38" s="116"/>
    </row>
    <row r="39" spans="1:12" ht="15">
      <c r="A39" s="34" t="s">
        <v>16</v>
      </c>
      <c r="B39" s="369" t="s">
        <v>668</v>
      </c>
      <c r="C39" s="371"/>
      <c r="D39" s="119" t="s">
        <v>241</v>
      </c>
      <c r="E39" s="119">
        <v>0.01</v>
      </c>
      <c r="F39" s="420">
        <v>410</v>
      </c>
      <c r="G39" s="421"/>
      <c r="H39" s="40"/>
      <c r="I39" s="40"/>
      <c r="L39" s="120"/>
    </row>
    <row r="40" spans="1:12" ht="15">
      <c r="A40" s="34" t="s">
        <v>18</v>
      </c>
      <c r="B40" s="369" t="s">
        <v>669</v>
      </c>
      <c r="C40" s="371"/>
      <c r="D40" s="119" t="s">
        <v>241</v>
      </c>
      <c r="E40" s="119">
        <v>0.02</v>
      </c>
      <c r="F40" s="420">
        <v>1553.62</v>
      </c>
      <c r="G40" s="421"/>
      <c r="H40" s="40"/>
      <c r="I40" s="40"/>
      <c r="L40" s="120"/>
    </row>
    <row r="41" spans="1:12" ht="15">
      <c r="A41" s="34" t="s">
        <v>20</v>
      </c>
      <c r="B41" s="369" t="s">
        <v>610</v>
      </c>
      <c r="C41" s="371"/>
      <c r="D41" s="119" t="s">
        <v>241</v>
      </c>
      <c r="E41" s="119">
        <v>0.02</v>
      </c>
      <c r="F41" s="420">
        <v>12215.13</v>
      </c>
      <c r="G41" s="421"/>
      <c r="H41" s="40"/>
      <c r="I41" s="40"/>
      <c r="L41" s="120"/>
    </row>
    <row r="42" spans="1:12" ht="15" customHeight="1">
      <c r="A42" s="34" t="s">
        <v>22</v>
      </c>
      <c r="B42" s="369" t="s">
        <v>608</v>
      </c>
      <c r="C42" s="371"/>
      <c r="D42" s="119" t="s">
        <v>241</v>
      </c>
      <c r="E42" s="119">
        <v>0.02</v>
      </c>
      <c r="F42" s="420">
        <v>19872</v>
      </c>
      <c r="G42" s="421"/>
      <c r="H42" s="40"/>
      <c r="I42" s="40"/>
      <c r="L42" s="120"/>
    </row>
    <row r="43" spans="1:12" ht="15">
      <c r="A43" s="34" t="s">
        <v>24</v>
      </c>
      <c r="B43" s="369" t="s">
        <v>670</v>
      </c>
      <c r="C43" s="415"/>
      <c r="D43" s="119" t="s">
        <v>505</v>
      </c>
      <c r="E43" s="154">
        <v>0.01</v>
      </c>
      <c r="F43" s="410">
        <v>2063.51</v>
      </c>
      <c r="G43" s="410"/>
      <c r="H43" s="40"/>
      <c r="I43" s="40"/>
      <c r="L43" s="120"/>
    </row>
    <row r="44" spans="1:12" ht="15">
      <c r="A44" s="34" t="s">
        <v>106</v>
      </c>
      <c r="B44" s="369" t="s">
        <v>790</v>
      </c>
      <c r="C44" s="371"/>
      <c r="D44" s="119"/>
      <c r="E44" s="119"/>
      <c r="F44" s="420">
        <v>930</v>
      </c>
      <c r="G44" s="421"/>
      <c r="H44" s="40"/>
      <c r="I44" s="40"/>
      <c r="L44" s="120"/>
    </row>
    <row r="45" spans="1:11" s="67" customFormat="1" ht="15">
      <c r="A45" s="34" t="s">
        <v>107</v>
      </c>
      <c r="B45" s="408" t="s">
        <v>198</v>
      </c>
      <c r="C45" s="409"/>
      <c r="D45" s="125"/>
      <c r="E45" s="125"/>
      <c r="F45" s="410">
        <f>E24*1%</f>
        <v>1047.4795</v>
      </c>
      <c r="G45" s="410"/>
      <c r="H45" s="59"/>
      <c r="I45" s="59"/>
      <c r="J45" s="59"/>
      <c r="K45" s="59"/>
    </row>
    <row r="46" s="59" customFormat="1" ht="9" customHeight="1"/>
    <row r="47" spans="1:11" s="59" customFormat="1" ht="15">
      <c r="A47" s="67" t="s">
        <v>55</v>
      </c>
      <c r="B47" s="67"/>
      <c r="C47" s="127" t="s">
        <v>49</v>
      </c>
      <c r="D47" s="67"/>
      <c r="E47" s="67"/>
      <c r="F47" s="67" t="s">
        <v>93</v>
      </c>
      <c r="G47" s="67"/>
      <c r="H47" s="67"/>
      <c r="I47" s="67"/>
      <c r="J47" s="67"/>
      <c r="K47" s="67"/>
    </row>
    <row r="48" spans="1:7" s="59" customFormat="1" ht="15">
      <c r="A48" s="67"/>
      <c r="B48" s="67"/>
      <c r="C48" s="127"/>
      <c r="D48" s="67"/>
      <c r="E48" s="67"/>
      <c r="F48" s="128" t="s">
        <v>516</v>
      </c>
      <c r="G48" s="67"/>
    </row>
    <row r="49" spans="1:10" s="59" customFormat="1" ht="15">
      <c r="A49" s="67" t="s">
        <v>50</v>
      </c>
      <c r="B49" s="67"/>
      <c r="C49" s="127"/>
      <c r="D49" s="67"/>
      <c r="E49" s="67"/>
      <c r="F49" s="67"/>
      <c r="G49" s="67"/>
      <c r="H49" s="158"/>
      <c r="I49" s="158"/>
      <c r="J49" s="158"/>
    </row>
    <row r="50" spans="1:11" ht="15">
      <c r="A50" s="67"/>
      <c r="B50" s="67"/>
      <c r="C50" s="129" t="s">
        <v>51</v>
      </c>
      <c r="D50" s="67"/>
      <c r="E50" s="130"/>
      <c r="F50" s="130"/>
      <c r="G50" s="130"/>
      <c r="H50" s="59"/>
      <c r="I50" s="59"/>
      <c r="J50" s="59"/>
      <c r="K50" s="59"/>
    </row>
    <row r="51" spans="1:11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</sheetData>
  <sheetProtection/>
  <mergeCells count="27">
    <mergeCell ref="B42:C42"/>
    <mergeCell ref="F42:G42"/>
    <mergeCell ref="B43:C43"/>
    <mergeCell ref="F43:G43"/>
    <mergeCell ref="A1:K1"/>
    <mergeCell ref="A2:K2"/>
    <mergeCell ref="A3:K3"/>
    <mergeCell ref="A5:K5"/>
    <mergeCell ref="A9:K9"/>
    <mergeCell ref="A10:K10"/>
    <mergeCell ref="A11:K11"/>
    <mergeCell ref="A32:C32"/>
    <mergeCell ref="A35:K35"/>
    <mergeCell ref="B37:C37"/>
    <mergeCell ref="F37:G37"/>
    <mergeCell ref="B40:C40"/>
    <mergeCell ref="F40:G40"/>
    <mergeCell ref="B45:C45"/>
    <mergeCell ref="F45:G45"/>
    <mergeCell ref="B38:C38"/>
    <mergeCell ref="F38:G38"/>
    <mergeCell ref="B39:C39"/>
    <mergeCell ref="F39:G39"/>
    <mergeCell ref="B44:C44"/>
    <mergeCell ref="F44:G44"/>
    <mergeCell ref="B41:C41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"/>
  <sheetViews>
    <sheetView zoomScalePageLayoutView="0" workbookViewId="0" topLeftCell="A34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221</v>
      </c>
      <c r="H7" s="60"/>
    </row>
    <row r="8" spans="1:8" s="59" customFormat="1" ht="12.75">
      <c r="A8" s="59" t="s">
        <v>3</v>
      </c>
      <c r="F8" s="310" t="s">
        <v>222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'[1]Хрустальная 70'!$G$35</f>
        <v>58919.38420000001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378038.52</v>
      </c>
      <c r="E16" s="76">
        <v>366282.31</v>
      </c>
      <c r="F16" s="76">
        <f aca="true" t="shared" si="0" ref="F16:F23">D16</f>
        <v>378038.52</v>
      </c>
      <c r="G16" s="77">
        <f>D16-E16</f>
        <v>11756.210000000021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126500.31713733077</v>
      </c>
      <c r="E17" s="83">
        <f>E16*I17</f>
        <v>122566.42094777564</v>
      </c>
      <c r="F17" s="83">
        <f t="shared" si="0"/>
        <v>126500.31713733077</v>
      </c>
      <c r="G17" s="84">
        <f>D17-E17</f>
        <v>3933.896189555133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61787.727156673114</v>
      </c>
      <c r="E18" s="83">
        <f>E16*I18</f>
        <v>59866.257630560925</v>
      </c>
      <c r="F18" s="83">
        <f t="shared" si="0"/>
        <v>61787.727156673114</v>
      </c>
      <c r="G18" s="84">
        <f>D18-E18</f>
        <v>1921.4695261121888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5">
        <v>2.15</v>
      </c>
      <c r="D19" s="83">
        <f>D16*I19</f>
        <v>78605.68839458414</v>
      </c>
      <c r="E19" s="83">
        <f>E16*I19</f>
        <v>76161.21532882012</v>
      </c>
      <c r="F19" s="83">
        <f t="shared" si="0"/>
        <v>78605.68839458414</v>
      </c>
      <c r="G19" s="84">
        <f>D19-E19</f>
        <v>2444.4730657640175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111144.787311412</v>
      </c>
      <c r="E20" s="83">
        <f>E16*I20</f>
        <v>107688.41609284333</v>
      </c>
      <c r="F20" s="83">
        <f t="shared" si="0"/>
        <v>111144.787311412</v>
      </c>
      <c r="G20" s="84">
        <f>D20-E20</f>
        <v>3456.3712185686745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2.06</v>
      </c>
      <c r="D24" s="87">
        <v>75309.28</v>
      </c>
      <c r="E24" s="87">
        <v>73021.19</v>
      </c>
      <c r="F24" s="87">
        <f>F38</f>
        <v>41209.6419</v>
      </c>
      <c r="G24" s="77">
        <f t="shared" si="1"/>
        <v>2288.0899999999965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1855003.67</v>
      </c>
      <c r="E26" s="77">
        <f>SUM(E27:E30)</f>
        <v>1822243.09</v>
      </c>
      <c r="F26" s="77">
        <f>SUM(F27:F30)</f>
        <v>1855003.67</v>
      </c>
      <c r="G26" s="77">
        <f t="shared" si="1"/>
        <v>32760.57999999984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301" t="s">
        <v>379</v>
      </c>
      <c r="D27" s="84">
        <v>37977</v>
      </c>
      <c r="E27" s="84">
        <v>36811.69</v>
      </c>
      <c r="F27" s="84">
        <f>D27</f>
        <v>37977</v>
      </c>
      <c r="G27" s="84">
        <f t="shared" si="1"/>
        <v>1165.3099999999977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259785.73</v>
      </c>
      <c r="E28" s="84">
        <v>263136.29</v>
      </c>
      <c r="F28" s="84">
        <f>D28</f>
        <v>259785.73</v>
      </c>
      <c r="G28" s="84">
        <f t="shared" si="1"/>
        <v>-3350.5599999999686</v>
      </c>
    </row>
    <row r="29" spans="1:7" ht="15">
      <c r="A29" s="34" t="s">
        <v>42</v>
      </c>
      <c r="B29" s="34" t="s">
        <v>143</v>
      </c>
      <c r="C29" s="294" t="s">
        <v>381</v>
      </c>
      <c r="D29" s="216">
        <v>432687.35</v>
      </c>
      <c r="E29" s="216">
        <v>430328.06</v>
      </c>
      <c r="F29" s="84">
        <f>D29</f>
        <v>432687.35</v>
      </c>
      <c r="G29" s="84">
        <f t="shared" si="1"/>
        <v>2359.289999999979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1124553.59</v>
      </c>
      <c r="E30" s="84">
        <v>1091967.05</v>
      </c>
      <c r="F30" s="84">
        <f>D30</f>
        <v>1124553.59</v>
      </c>
      <c r="G30" s="84">
        <f t="shared" si="1"/>
        <v>32586.540000000037</v>
      </c>
    </row>
    <row r="31" spans="1:9" s="102" customFormat="1" ht="17.2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418172.16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1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90730.9323</v>
      </c>
      <c r="H34" s="62"/>
      <c r="I34" s="62"/>
      <c r="K34" s="147"/>
    </row>
    <row r="35" spans="1:11" ht="31.5" customHeight="1">
      <c r="A35" s="367" t="s">
        <v>189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2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SUM(F39:G43)</f>
        <v>41209.6419</v>
      </c>
      <c r="G38" s="404"/>
      <c r="H38" s="253"/>
      <c r="I38" s="254"/>
      <c r="L38" s="116"/>
    </row>
    <row r="39" spans="1:12" ht="15">
      <c r="A39" s="34" t="s">
        <v>16</v>
      </c>
      <c r="B39" s="369" t="s">
        <v>608</v>
      </c>
      <c r="C39" s="371"/>
      <c r="D39" s="119" t="s">
        <v>241</v>
      </c>
      <c r="E39" s="122">
        <v>0.02</v>
      </c>
      <c r="F39" s="420">
        <v>12600.43</v>
      </c>
      <c r="G39" s="421"/>
      <c r="H39" s="255"/>
      <c r="I39" s="256"/>
      <c r="L39" s="120"/>
    </row>
    <row r="40" spans="1:12" ht="15">
      <c r="A40" s="34" t="s">
        <v>18</v>
      </c>
      <c r="B40" s="369" t="s">
        <v>608</v>
      </c>
      <c r="C40" s="371"/>
      <c r="D40" s="119" t="s">
        <v>241</v>
      </c>
      <c r="E40" s="119">
        <v>0.02</v>
      </c>
      <c r="F40" s="420">
        <v>11961</v>
      </c>
      <c r="G40" s="421"/>
      <c r="H40" s="40"/>
      <c r="I40" s="40"/>
      <c r="L40" s="120"/>
    </row>
    <row r="41" spans="1:12" ht="15">
      <c r="A41" s="34" t="s">
        <v>20</v>
      </c>
      <c r="B41" s="369" t="s">
        <v>840</v>
      </c>
      <c r="C41" s="371"/>
      <c r="D41" s="119"/>
      <c r="E41" s="122"/>
      <c r="F41" s="420">
        <v>10000</v>
      </c>
      <c r="G41" s="421"/>
      <c r="H41" s="40"/>
      <c r="I41" s="40"/>
      <c r="L41" s="120"/>
    </row>
    <row r="42" spans="1:12" ht="15">
      <c r="A42" s="34" t="s">
        <v>22</v>
      </c>
      <c r="B42" s="369" t="s">
        <v>847</v>
      </c>
      <c r="C42" s="371"/>
      <c r="D42" s="119"/>
      <c r="E42" s="119"/>
      <c r="F42" s="420">
        <v>5918</v>
      </c>
      <c r="G42" s="421"/>
      <c r="H42" s="40"/>
      <c r="I42" s="40"/>
      <c r="L42" s="120"/>
    </row>
    <row r="43" spans="1:11" s="67" customFormat="1" ht="15">
      <c r="A43" s="34" t="s">
        <v>24</v>
      </c>
      <c r="B43" s="408" t="s">
        <v>198</v>
      </c>
      <c r="C43" s="409"/>
      <c r="D43" s="125"/>
      <c r="E43" s="125"/>
      <c r="F43" s="410">
        <f>E24*1%</f>
        <v>730.2119</v>
      </c>
      <c r="G43" s="410"/>
      <c r="H43" s="59"/>
      <c r="I43" s="59"/>
      <c r="J43" s="59"/>
      <c r="K43" s="59"/>
    </row>
    <row r="44" s="59" customFormat="1" ht="9" customHeight="1"/>
    <row r="45" spans="1:11" s="59" customFormat="1" ht="15">
      <c r="A45" s="67" t="s">
        <v>55</v>
      </c>
      <c r="B45" s="67"/>
      <c r="C45" s="127" t="s">
        <v>49</v>
      </c>
      <c r="D45" s="67"/>
      <c r="E45" s="67"/>
      <c r="F45" s="67" t="s">
        <v>93</v>
      </c>
      <c r="G45" s="67"/>
      <c r="H45" s="67"/>
      <c r="I45" s="67"/>
      <c r="J45" s="67"/>
      <c r="K45" s="67"/>
    </row>
    <row r="46" spans="1:7" s="59" customFormat="1" ht="15">
      <c r="A46" s="67"/>
      <c r="B46" s="67"/>
      <c r="C46" s="127"/>
      <c r="D46" s="67"/>
      <c r="E46" s="67"/>
      <c r="F46" s="128" t="s">
        <v>516</v>
      </c>
      <c r="G46" s="67"/>
    </row>
    <row r="47" spans="1:10" s="59" customFormat="1" ht="15">
      <c r="A47" s="67" t="s">
        <v>50</v>
      </c>
      <c r="B47" s="67"/>
      <c r="C47" s="127"/>
      <c r="D47" s="67"/>
      <c r="E47" s="67"/>
      <c r="F47" s="67"/>
      <c r="G47" s="67"/>
      <c r="H47" s="158"/>
      <c r="I47" s="158"/>
      <c r="J47" s="158"/>
    </row>
    <row r="48" spans="1:11" ht="15">
      <c r="A48" s="67"/>
      <c r="B48" s="67"/>
      <c r="C48" s="129" t="s">
        <v>51</v>
      </c>
      <c r="D48" s="67"/>
      <c r="E48" s="130"/>
      <c r="F48" s="130"/>
      <c r="G48" s="130"/>
      <c r="H48" s="59"/>
      <c r="I48" s="59"/>
      <c r="J48" s="59"/>
      <c r="K48" s="59"/>
    </row>
    <row r="49" spans="1:11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</sheetData>
  <sheetProtection/>
  <mergeCells count="24">
    <mergeCell ref="A11:K11"/>
    <mergeCell ref="A32:C32"/>
    <mergeCell ref="A35:K35"/>
    <mergeCell ref="B37:C37"/>
    <mergeCell ref="F37:G37"/>
    <mergeCell ref="A31:F31"/>
    <mergeCell ref="A1:K1"/>
    <mergeCell ref="A2:K2"/>
    <mergeCell ref="A3:K3"/>
    <mergeCell ref="A5:K5"/>
    <mergeCell ref="A9:K9"/>
    <mergeCell ref="A10:K10"/>
    <mergeCell ref="B38:C38"/>
    <mergeCell ref="F38:G38"/>
    <mergeCell ref="B39:C39"/>
    <mergeCell ref="F39:G39"/>
    <mergeCell ref="B40:C40"/>
    <mergeCell ref="F40:G40"/>
    <mergeCell ref="B42:C42"/>
    <mergeCell ref="F42:G42"/>
    <mergeCell ref="B41:C41"/>
    <mergeCell ref="F41:G41"/>
    <mergeCell ref="B43:C43"/>
    <mergeCell ref="F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22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193</v>
      </c>
      <c r="H7" s="60"/>
    </row>
    <row r="8" spans="1:8" s="59" customFormat="1" ht="12.75">
      <c r="A8" s="59" t="s">
        <v>3</v>
      </c>
      <c r="F8" s="310" t="s">
        <v>295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3.5" thickBot="1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15.75" customHeight="1" thickBot="1">
      <c r="A12" s="63" t="s">
        <v>454</v>
      </c>
      <c r="B12" s="63"/>
      <c r="C12" s="64"/>
      <c r="D12" s="69"/>
      <c r="E12" s="70"/>
      <c r="F12" s="70"/>
      <c r="G12" s="268">
        <f>'[1]Хрустальная 74'!$G$36</f>
        <v>-4979.559999999998</v>
      </c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'[1]Хрустальная 74'!$G$35</f>
        <v>-122084.22499999996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574517.64</v>
      </c>
      <c r="E16" s="76">
        <v>563449.68</v>
      </c>
      <c r="F16" s="76">
        <f aca="true" t="shared" si="0" ref="F16:F23">D16</f>
        <v>574517.64</v>
      </c>
      <c r="G16" s="77">
        <f>D16-E16</f>
        <v>11067.959999999963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192246.71512572537</v>
      </c>
      <c r="E17" s="83">
        <f>E16*I17</f>
        <v>188543.1230947776</v>
      </c>
      <c r="F17" s="83">
        <f t="shared" si="0"/>
        <v>192246.71512572537</v>
      </c>
      <c r="G17" s="84">
        <f>D17-E17</f>
        <v>3703.592030947766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93900.85218568664</v>
      </c>
      <c r="E18" s="83">
        <f>E16*I18</f>
        <v>92091.8722630561</v>
      </c>
      <c r="F18" s="83">
        <f t="shared" si="0"/>
        <v>93900.85218568664</v>
      </c>
      <c r="G18" s="84">
        <f>D18-E18</f>
        <v>1808.9799226305477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5">
        <v>2.15</v>
      </c>
      <c r="D19" s="83">
        <f>D16*I19</f>
        <v>119459.66402321083</v>
      </c>
      <c r="E19" s="83">
        <f>E16*I19</f>
        <v>117158.29903288203</v>
      </c>
      <c r="F19" s="83">
        <f t="shared" si="0"/>
        <v>119459.66402321083</v>
      </c>
      <c r="G19" s="84">
        <f>D19-E19</f>
        <v>2301.3649903288024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168910.40866537718</v>
      </c>
      <c r="E20" s="83">
        <f>E16*I20</f>
        <v>165656.38560928436</v>
      </c>
      <c r="F20" s="83">
        <f t="shared" si="0"/>
        <v>168910.40866537718</v>
      </c>
      <c r="G20" s="84">
        <f>D20-E20</f>
        <v>3254.0230560928176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372</v>
      </c>
      <c r="C21" s="46">
        <v>0</v>
      </c>
      <c r="D21" s="87">
        <v>0</v>
      </c>
      <c r="E21" s="87">
        <v>3372.53</v>
      </c>
      <c r="F21" s="87">
        <v>0</v>
      </c>
      <c r="G21" s="77">
        <f aca="true" t="shared" si="1" ref="G21:G30">D21-E21</f>
        <v>-3372.53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46">
        <v>0</v>
      </c>
      <c r="D22" s="87">
        <v>0</v>
      </c>
      <c r="E22" s="87"/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2.06</v>
      </c>
      <c r="D24" s="87">
        <v>111632.53</v>
      </c>
      <c r="E24" s="87">
        <v>112466.52</v>
      </c>
      <c r="F24" s="87">
        <f>F39</f>
        <v>232310.78519999998</v>
      </c>
      <c r="G24" s="77">
        <f t="shared" si="1"/>
        <v>-833.9900000000052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 t="s">
        <v>395</v>
      </c>
      <c r="D25" s="90">
        <v>0</v>
      </c>
      <c r="E25" s="90">
        <v>0</v>
      </c>
      <c r="F25" s="90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2614732.54</v>
      </c>
      <c r="E26" s="77">
        <f>SUM(E27:E30)</f>
        <v>2632954.4000000004</v>
      </c>
      <c r="F26" s="77">
        <f>SUM(F27:F30)</f>
        <v>2614732.54</v>
      </c>
      <c r="G26" s="77">
        <f t="shared" si="1"/>
        <v>-18221.860000000335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301" t="s">
        <v>379</v>
      </c>
      <c r="D27" s="84">
        <v>39077.7</v>
      </c>
      <c r="E27" s="84">
        <v>39357.21</v>
      </c>
      <c r="F27" s="84">
        <f>D27</f>
        <v>39077.7</v>
      </c>
      <c r="G27" s="84">
        <f t="shared" si="1"/>
        <v>-279.51000000000204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395560.43</v>
      </c>
      <c r="E28" s="84">
        <v>405962.67</v>
      </c>
      <c r="F28" s="84">
        <f>D28</f>
        <v>395560.43</v>
      </c>
      <c r="G28" s="84">
        <f t="shared" si="1"/>
        <v>-10402.23999999999</v>
      </c>
    </row>
    <row r="29" spans="1:7" ht="15">
      <c r="A29" s="34" t="s">
        <v>42</v>
      </c>
      <c r="B29" s="34" t="s">
        <v>143</v>
      </c>
      <c r="C29" s="294" t="s">
        <v>381</v>
      </c>
      <c r="D29" s="84">
        <v>692020.96</v>
      </c>
      <c r="E29" s="84">
        <v>702375.78</v>
      </c>
      <c r="F29" s="84">
        <f>D29</f>
        <v>692020.96</v>
      </c>
      <c r="G29" s="84">
        <f t="shared" si="1"/>
        <v>-10354.820000000065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1488073.45</v>
      </c>
      <c r="E30" s="84">
        <v>1485258.74</v>
      </c>
      <c r="F30" s="84">
        <f>D30</f>
        <v>1488073.45</v>
      </c>
      <c r="G30" s="84">
        <f t="shared" si="1"/>
        <v>2814.7099999999627</v>
      </c>
    </row>
    <row r="31" spans="1:9" s="102" customFormat="1" ht="21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574444.16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-241928.49019999994</v>
      </c>
      <c r="H34" s="62"/>
      <c r="I34" s="62"/>
    </row>
    <row r="35" spans="1:11" s="102" customFormat="1" ht="14.25" thickBot="1">
      <c r="A35" s="63" t="s">
        <v>455</v>
      </c>
      <c r="B35" s="64"/>
      <c r="C35" s="64"/>
      <c r="D35" s="69"/>
      <c r="E35" s="70"/>
      <c r="F35" s="70"/>
      <c r="G35" s="146">
        <f>G12+E21-F21</f>
        <v>-1607.0299999999975</v>
      </c>
      <c r="H35" s="101"/>
      <c r="I35" s="101"/>
      <c r="J35" s="101"/>
      <c r="K35" s="101"/>
    </row>
    <row r="36" spans="1:11" ht="31.5" customHeight="1">
      <c r="A36" s="367" t="s">
        <v>189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</row>
    <row r="38" spans="1:12" s="74" customFormat="1" ht="37.5" customHeight="1">
      <c r="A38" s="105" t="s">
        <v>11</v>
      </c>
      <c r="B38" s="394" t="s">
        <v>45</v>
      </c>
      <c r="C38" s="405"/>
      <c r="D38" s="105" t="s">
        <v>170</v>
      </c>
      <c r="E38" s="105" t="s">
        <v>169</v>
      </c>
      <c r="F38" s="394" t="s">
        <v>46</v>
      </c>
      <c r="G38" s="405"/>
      <c r="H38" s="251"/>
      <c r="I38" s="252"/>
      <c r="L38" s="108"/>
    </row>
    <row r="39" spans="1:12" s="115" customFormat="1" ht="15" customHeight="1">
      <c r="A39" s="109" t="s">
        <v>47</v>
      </c>
      <c r="B39" s="396" t="s">
        <v>114</v>
      </c>
      <c r="C39" s="399"/>
      <c r="D39" s="111"/>
      <c r="E39" s="111"/>
      <c r="F39" s="411">
        <f>SUM(F40:G46)</f>
        <v>232310.78519999998</v>
      </c>
      <c r="G39" s="404"/>
      <c r="H39" s="253"/>
      <c r="I39" s="254"/>
      <c r="L39" s="116"/>
    </row>
    <row r="40" spans="1:12" ht="15">
      <c r="A40" s="34" t="s">
        <v>16</v>
      </c>
      <c r="B40" s="369" t="s">
        <v>305</v>
      </c>
      <c r="C40" s="371"/>
      <c r="D40" s="119" t="s">
        <v>240</v>
      </c>
      <c r="E40" s="203">
        <v>0.05</v>
      </c>
      <c r="F40" s="420">
        <v>9936.43</v>
      </c>
      <c r="G40" s="421"/>
      <c r="H40" s="255"/>
      <c r="I40" s="256"/>
      <c r="L40" s="120"/>
    </row>
    <row r="41" spans="1:12" ht="15">
      <c r="A41" s="34" t="s">
        <v>18</v>
      </c>
      <c r="B41" s="369" t="s">
        <v>674</v>
      </c>
      <c r="C41" s="371"/>
      <c r="D41" s="119" t="s">
        <v>239</v>
      </c>
      <c r="E41" s="122">
        <v>0.06</v>
      </c>
      <c r="F41" s="420">
        <v>13672.96</v>
      </c>
      <c r="G41" s="421"/>
      <c r="H41" s="40"/>
      <c r="I41" s="40"/>
      <c r="L41" s="120"/>
    </row>
    <row r="42" spans="1:12" ht="15">
      <c r="A42" s="34" t="s">
        <v>20</v>
      </c>
      <c r="B42" s="369" t="s">
        <v>167</v>
      </c>
      <c r="C42" s="371"/>
      <c r="D42" s="119" t="s">
        <v>174</v>
      </c>
      <c r="E42" s="119">
        <v>700</v>
      </c>
      <c r="F42" s="420">
        <v>6783</v>
      </c>
      <c r="G42" s="421"/>
      <c r="H42" s="40"/>
      <c r="I42" s="40"/>
      <c r="L42" s="120"/>
    </row>
    <row r="43" spans="1:12" ht="15">
      <c r="A43" s="34" t="s">
        <v>22</v>
      </c>
      <c r="B43" s="369" t="s">
        <v>175</v>
      </c>
      <c r="C43" s="371"/>
      <c r="D43" s="119" t="s">
        <v>249</v>
      </c>
      <c r="E43" s="119"/>
      <c r="F43" s="420">
        <v>198905.43</v>
      </c>
      <c r="G43" s="421"/>
      <c r="H43" s="40"/>
      <c r="I43" s="40"/>
      <c r="L43" s="120"/>
    </row>
    <row r="44" spans="1:12" ht="15">
      <c r="A44" s="34" t="s">
        <v>24</v>
      </c>
      <c r="B44" s="117" t="s">
        <v>747</v>
      </c>
      <c r="C44" s="118"/>
      <c r="D44" s="119" t="s">
        <v>248</v>
      </c>
      <c r="E44" s="119">
        <v>1</v>
      </c>
      <c r="F44" s="420">
        <v>350</v>
      </c>
      <c r="G44" s="421"/>
      <c r="H44" s="40"/>
      <c r="I44" s="40"/>
      <c r="L44" s="120"/>
    </row>
    <row r="45" spans="1:12" ht="15">
      <c r="A45" s="34" t="s">
        <v>106</v>
      </c>
      <c r="B45" s="369" t="s">
        <v>756</v>
      </c>
      <c r="C45" s="371"/>
      <c r="D45" s="119" t="s">
        <v>240</v>
      </c>
      <c r="E45" s="119">
        <v>0.01</v>
      </c>
      <c r="F45" s="420">
        <v>1538.3</v>
      </c>
      <c r="G45" s="421"/>
      <c r="H45" s="40"/>
      <c r="I45" s="40"/>
      <c r="L45" s="120"/>
    </row>
    <row r="46" spans="1:11" s="67" customFormat="1" ht="15">
      <c r="A46" s="34" t="s">
        <v>107</v>
      </c>
      <c r="B46" s="408" t="s">
        <v>198</v>
      </c>
      <c r="C46" s="409"/>
      <c r="D46" s="125"/>
      <c r="E46" s="125"/>
      <c r="F46" s="410">
        <f>E24*1%</f>
        <v>1124.6652000000001</v>
      </c>
      <c r="G46" s="410"/>
      <c r="H46" s="59"/>
      <c r="I46" s="59"/>
      <c r="J46" s="59"/>
      <c r="K46" s="59"/>
    </row>
    <row r="47" s="59" customFormat="1" ht="9" customHeight="1"/>
    <row r="48" spans="1:11" s="59" customFormat="1" ht="15">
      <c r="A48" s="67" t="s">
        <v>55</v>
      </c>
      <c r="B48" s="67"/>
      <c r="C48" s="127" t="s">
        <v>49</v>
      </c>
      <c r="D48" s="67"/>
      <c r="E48" s="67"/>
      <c r="F48" s="67" t="s">
        <v>93</v>
      </c>
      <c r="G48" s="67"/>
      <c r="H48" s="67"/>
      <c r="I48" s="67"/>
      <c r="J48" s="67"/>
      <c r="K48" s="67"/>
    </row>
    <row r="49" spans="1:7" s="59" customFormat="1" ht="15">
      <c r="A49" s="67"/>
      <c r="B49" s="67"/>
      <c r="C49" s="127"/>
      <c r="D49" s="67"/>
      <c r="E49" s="67"/>
      <c r="F49" s="128" t="s">
        <v>516</v>
      </c>
      <c r="G49" s="67"/>
    </row>
    <row r="50" spans="1:10" s="59" customFormat="1" ht="15">
      <c r="A50" s="67" t="s">
        <v>50</v>
      </c>
      <c r="B50" s="67"/>
      <c r="C50" s="127"/>
      <c r="D50" s="67"/>
      <c r="E50" s="67"/>
      <c r="F50" s="67"/>
      <c r="G50" s="67"/>
      <c r="H50" s="158"/>
      <c r="I50" s="158"/>
      <c r="J50" s="158"/>
    </row>
    <row r="51" spans="1:11" ht="15">
      <c r="A51" s="67"/>
      <c r="B51" s="67"/>
      <c r="C51" s="129" t="s">
        <v>51</v>
      </c>
      <c r="D51" s="67"/>
      <c r="E51" s="130"/>
      <c r="F51" s="130"/>
      <c r="G51" s="130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</sheetData>
  <sheetProtection/>
  <mergeCells count="27">
    <mergeCell ref="F42:G42"/>
    <mergeCell ref="B43:C43"/>
    <mergeCell ref="F45:G45"/>
    <mergeCell ref="F40:G40"/>
    <mergeCell ref="B41:C41"/>
    <mergeCell ref="F43:G43"/>
    <mergeCell ref="F41:G41"/>
    <mergeCell ref="F44:G44"/>
    <mergeCell ref="B46:C46"/>
    <mergeCell ref="F46:G46"/>
    <mergeCell ref="B45:C45"/>
    <mergeCell ref="B40:C40"/>
    <mergeCell ref="B42:C42"/>
    <mergeCell ref="A1:K1"/>
    <mergeCell ref="A2:K2"/>
    <mergeCell ref="A3:K3"/>
    <mergeCell ref="A5:K5"/>
    <mergeCell ref="A9:K9"/>
    <mergeCell ref="B39:C39"/>
    <mergeCell ref="A31:F31"/>
    <mergeCell ref="F39:G39"/>
    <mergeCell ref="A11:K11"/>
    <mergeCell ref="A10:K10"/>
    <mergeCell ref="B38:C38"/>
    <mergeCell ref="A32:C32"/>
    <mergeCell ref="A36:K36"/>
    <mergeCell ref="F38:G3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7030A0"/>
  </sheetPr>
  <dimension ref="A1:T69"/>
  <sheetViews>
    <sheetView zoomScalePageLayoutView="0" workbookViewId="0" topLeftCell="A27">
      <selection activeCell="G35" sqref="G35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5" width="13.8515625" style="57" customWidth="1"/>
    <col min="6" max="6" width="14.71093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12.00390625" style="57" bestFit="1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194</v>
      </c>
      <c r="H7" s="60"/>
    </row>
    <row r="8" spans="1:9" s="59" customFormat="1" ht="12.75">
      <c r="A8" s="59" t="s">
        <v>3</v>
      </c>
      <c r="F8" s="310" t="s">
        <v>344</v>
      </c>
      <c r="H8" s="60">
        <v>196.5</v>
      </c>
      <c r="I8" s="61">
        <f>15230.3+H8</f>
        <v>15426.8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'[1]Молодежная 46'!$G$36</f>
        <v>610035.4030000002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46">
        <f>C17+C18+C19+C20+C21</f>
        <v>11.06</v>
      </c>
      <c r="D16" s="76">
        <v>2005114.28</v>
      </c>
      <c r="E16" s="76">
        <v>2007850.25</v>
      </c>
      <c r="F16" s="76">
        <f>SUM(F17:F21)</f>
        <v>2006855.3499457506</v>
      </c>
      <c r="G16" s="77">
        <f aca="true" t="shared" si="0" ref="G16:G21">D16-E16</f>
        <v>-2735.969999999972</v>
      </c>
      <c r="H16" s="78">
        <f aca="true" t="shared" si="1" ref="H16:H21">C16</f>
        <v>11.06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627278.0658951176</v>
      </c>
      <c r="E17" s="83">
        <f>E16*I17</f>
        <v>628133.9841772151</v>
      </c>
      <c r="F17" s="83">
        <f aca="true" t="shared" si="2" ref="F17:F23">D17</f>
        <v>627278.0658951176</v>
      </c>
      <c r="G17" s="84">
        <f t="shared" si="0"/>
        <v>-855.9182820975548</v>
      </c>
      <c r="H17" s="78">
        <f t="shared" si="1"/>
        <v>3.46</v>
      </c>
      <c r="I17" s="59">
        <f>H17/H16</f>
        <v>0.3128390596745027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306387.26339963835</v>
      </c>
      <c r="E18" s="83">
        <f>E16*I18</f>
        <v>306805.32753164554</v>
      </c>
      <c r="F18" s="83">
        <f t="shared" si="2"/>
        <v>306387.26339963835</v>
      </c>
      <c r="G18" s="84">
        <f t="shared" si="0"/>
        <v>-418.06413200718816</v>
      </c>
      <c r="H18" s="78">
        <f t="shared" si="1"/>
        <v>1.69</v>
      </c>
      <c r="I18" s="59">
        <f>H18/H16</f>
        <v>0.15280289330922242</v>
      </c>
    </row>
    <row r="19" spans="1:9" s="59" customFormat="1" ht="15">
      <c r="A19" s="81" t="s">
        <v>20</v>
      </c>
      <c r="B19" s="34" t="s">
        <v>21</v>
      </c>
      <c r="C19" s="85">
        <v>1.99</v>
      </c>
      <c r="D19" s="83">
        <f>D16*I19</f>
        <v>360775.53500904154</v>
      </c>
      <c r="E19" s="83">
        <f>E16*I19</f>
        <v>361267.81170886074</v>
      </c>
      <c r="F19" s="83">
        <f t="shared" si="2"/>
        <v>360775.53500904154</v>
      </c>
      <c r="G19" s="84">
        <f t="shared" si="0"/>
        <v>-492.2766998191946</v>
      </c>
      <c r="H19" s="78">
        <f t="shared" si="1"/>
        <v>1.99</v>
      </c>
      <c r="I19" s="59">
        <f>H19/H16</f>
        <v>0.1799276672694394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551134.4856419531</v>
      </c>
      <c r="E20" s="83">
        <f>E16*I20</f>
        <v>551886.506329114</v>
      </c>
      <c r="F20" s="83">
        <f t="shared" si="2"/>
        <v>551134.4856419531</v>
      </c>
      <c r="G20" s="84">
        <f t="shared" si="0"/>
        <v>-752.0206871608971</v>
      </c>
      <c r="H20" s="78">
        <f t="shared" si="1"/>
        <v>3.04</v>
      </c>
      <c r="I20" s="59">
        <f>H20/H16</f>
        <v>0.27486437613019893</v>
      </c>
    </row>
    <row r="21" spans="1:9" s="59" customFormat="1" ht="15">
      <c r="A21" s="81" t="s">
        <v>24</v>
      </c>
      <c r="B21" s="34" t="s">
        <v>195</v>
      </c>
      <c r="C21" s="82">
        <v>0.88</v>
      </c>
      <c r="D21" s="83">
        <f>D16*I21</f>
        <v>159538.93005424956</v>
      </c>
      <c r="E21" s="83">
        <f>E16*I21</f>
        <v>159756.62025316455</v>
      </c>
      <c r="F21" s="245">
        <f>F62</f>
        <v>161280</v>
      </c>
      <c r="G21" s="84">
        <f t="shared" si="0"/>
        <v>-217.69019891499192</v>
      </c>
      <c r="H21" s="78">
        <f t="shared" si="1"/>
        <v>0.88</v>
      </c>
      <c r="I21" s="59">
        <f>H21/H16</f>
        <v>0.07956600361663653</v>
      </c>
    </row>
    <row r="22" spans="1:11" s="89" customFormat="1" ht="14.25">
      <c r="A22" s="86" t="s">
        <v>25</v>
      </c>
      <c r="B22" s="86" t="s">
        <v>26</v>
      </c>
      <c r="C22" s="46">
        <v>3.86</v>
      </c>
      <c r="D22" s="87">
        <v>696938.68</v>
      </c>
      <c r="E22" s="87">
        <v>699809.19</v>
      </c>
      <c r="F22" s="87">
        <f t="shared" si="2"/>
        <v>696938.68</v>
      </c>
      <c r="G22" s="77">
        <f aca="true" t="shared" si="3" ref="G22:G31">D22-E22</f>
        <v>-2870.509999999893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28</v>
      </c>
      <c r="C23" s="46">
        <v>0</v>
      </c>
      <c r="D23" s="87">
        <v>0</v>
      </c>
      <c r="E23" s="87">
        <v>0</v>
      </c>
      <c r="F23" s="87">
        <f t="shared" si="2"/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28.5">
      <c r="A24" s="86" t="s">
        <v>29</v>
      </c>
      <c r="B24" s="86" t="s">
        <v>370</v>
      </c>
      <c r="C24" s="46">
        <v>100</v>
      </c>
      <c r="D24" s="87">
        <v>367200</v>
      </c>
      <c r="E24" s="87">
        <v>372037.79</v>
      </c>
      <c r="F24" s="87">
        <f>D24</f>
        <v>367200</v>
      </c>
      <c r="G24" s="77">
        <f t="shared" si="3"/>
        <v>-4837.789999999979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119</v>
      </c>
      <c r="C25" s="95">
        <v>2.06</v>
      </c>
      <c r="D25" s="87">
        <v>372229.28</v>
      </c>
      <c r="E25" s="87">
        <v>373784.75</v>
      </c>
      <c r="F25" s="87">
        <f>F43</f>
        <v>323817.8575</v>
      </c>
      <c r="G25" s="77">
        <f t="shared" si="3"/>
        <v>-1555.469999999972</v>
      </c>
      <c r="H25" s="88"/>
      <c r="I25" s="88"/>
      <c r="J25" s="88"/>
      <c r="K25" s="269"/>
    </row>
    <row r="26" spans="1:12" ht="14.25">
      <c r="A26" s="41" t="s">
        <v>33</v>
      </c>
      <c r="B26" s="41" t="s">
        <v>168</v>
      </c>
      <c r="C26" s="97" t="s">
        <v>395</v>
      </c>
      <c r="D26" s="77">
        <v>0</v>
      </c>
      <c r="E26" s="77">
        <v>0</v>
      </c>
      <c r="F26" s="87">
        <f>D26</f>
        <v>0</v>
      </c>
      <c r="G26" s="77">
        <f t="shared" si="3"/>
        <v>0</v>
      </c>
      <c r="H26" s="98"/>
      <c r="I26" s="98"/>
      <c r="J26" s="98"/>
      <c r="K26" s="98"/>
      <c r="L26" s="221"/>
    </row>
    <row r="27" spans="1:11" ht="14.25">
      <c r="A27" s="41" t="s">
        <v>35</v>
      </c>
      <c r="B27" s="41" t="s">
        <v>36</v>
      </c>
      <c r="C27" s="97"/>
      <c r="D27" s="77">
        <f>SUM(D28:D31)</f>
        <v>10067315.9</v>
      </c>
      <c r="E27" s="77">
        <f>SUM(E28:E31)</f>
        <v>10222891.690000001</v>
      </c>
      <c r="F27" s="77">
        <f>SUM(F28:F31)</f>
        <v>10067315.9</v>
      </c>
      <c r="G27" s="77">
        <f t="shared" si="3"/>
        <v>-155575.79000000097</v>
      </c>
      <c r="H27" s="98"/>
      <c r="I27" s="98"/>
      <c r="J27" s="98"/>
      <c r="K27" s="98"/>
    </row>
    <row r="28" spans="1:7" ht="15">
      <c r="A28" s="34" t="s">
        <v>37</v>
      </c>
      <c r="B28" s="34" t="s">
        <v>180</v>
      </c>
      <c r="C28" s="301" t="s">
        <v>413</v>
      </c>
      <c r="D28" s="84">
        <v>2247996.9</v>
      </c>
      <c r="E28" s="84">
        <v>2288437.95</v>
      </c>
      <c r="F28" s="84">
        <f>D28</f>
        <v>2247996.9</v>
      </c>
      <c r="G28" s="84">
        <f t="shared" si="3"/>
        <v>-40441.05000000028</v>
      </c>
    </row>
    <row r="29" spans="1:7" ht="15">
      <c r="A29" s="34" t="s">
        <v>39</v>
      </c>
      <c r="B29" s="34" t="s">
        <v>142</v>
      </c>
      <c r="C29" s="293" t="s">
        <v>382</v>
      </c>
      <c r="D29" s="84">
        <v>1001679.14</v>
      </c>
      <c r="E29" s="84">
        <v>1070780.19</v>
      </c>
      <c r="F29" s="84">
        <f>D29</f>
        <v>1001679.14</v>
      </c>
      <c r="G29" s="84">
        <f t="shared" si="3"/>
        <v>-69101.04999999993</v>
      </c>
    </row>
    <row r="30" spans="1:7" ht="26.25">
      <c r="A30" s="34" t="s">
        <v>42</v>
      </c>
      <c r="B30" s="34" t="s">
        <v>143</v>
      </c>
      <c r="C30" s="49" t="s">
        <v>279</v>
      </c>
      <c r="D30" s="84">
        <v>1536902.42</v>
      </c>
      <c r="E30" s="84">
        <v>1605054.52</v>
      </c>
      <c r="F30" s="84">
        <f>D30</f>
        <v>1536902.42</v>
      </c>
      <c r="G30" s="84">
        <f t="shared" si="3"/>
        <v>-68152.1000000001</v>
      </c>
    </row>
    <row r="31" spans="1:7" ht="15">
      <c r="A31" s="34" t="s">
        <v>41</v>
      </c>
      <c r="B31" s="34" t="s">
        <v>43</v>
      </c>
      <c r="C31" s="301" t="s">
        <v>457</v>
      </c>
      <c r="D31" s="84">
        <v>5280737.44</v>
      </c>
      <c r="E31" s="84">
        <v>5258619.03</v>
      </c>
      <c r="F31" s="84">
        <f>D31</f>
        <v>5280737.44</v>
      </c>
      <c r="G31" s="84">
        <f t="shared" si="3"/>
        <v>22118.41000000015</v>
      </c>
    </row>
    <row r="32" spans="1:9" s="102" customFormat="1" ht="16.5" customHeight="1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</row>
    <row r="33" spans="1:9" s="67" customFormat="1" ht="15.75" thickBot="1">
      <c r="A33" s="378" t="s">
        <v>383</v>
      </c>
      <c r="B33" s="379"/>
      <c r="C33" s="379"/>
      <c r="D33" s="65">
        <v>2992472.83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11" s="67" customFormat="1" ht="15.75" thickBot="1">
      <c r="A35" s="63" t="s">
        <v>387</v>
      </c>
      <c r="B35" s="64"/>
      <c r="C35" s="64"/>
      <c r="D35" s="69"/>
      <c r="E35" s="70"/>
      <c r="F35" s="70"/>
      <c r="G35" s="71">
        <f>G13+E25-F25</f>
        <v>660002.2955000002</v>
      </c>
      <c r="H35" s="62"/>
      <c r="I35" s="62"/>
      <c r="K35" s="147"/>
    </row>
    <row r="36" spans="1:11" s="102" customFormat="1" ht="15">
      <c r="A36" s="427" t="s">
        <v>489</v>
      </c>
      <c r="B36" s="428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1" s="102" customFormat="1" ht="13.5">
      <c r="A37" s="429" t="s">
        <v>150</v>
      </c>
      <c r="B37" s="430"/>
      <c r="C37" s="322" t="s">
        <v>151</v>
      </c>
      <c r="D37" s="322" t="s">
        <v>152</v>
      </c>
      <c r="E37" s="323" t="s">
        <v>153</v>
      </c>
      <c r="F37" s="324" t="s">
        <v>154</v>
      </c>
      <c r="G37" s="323" t="s">
        <v>155</v>
      </c>
      <c r="H37" s="101"/>
      <c r="I37" s="101"/>
      <c r="J37" s="101"/>
      <c r="K37" s="101"/>
    </row>
    <row r="38" spans="1:11" s="102" customFormat="1" ht="15">
      <c r="A38" s="431"/>
      <c r="B38" s="432"/>
      <c r="C38" s="302">
        <f>58.3+80.9+57.3</f>
        <v>196.5</v>
      </c>
      <c r="D38" s="325">
        <f>E38/C38/12</f>
        <v>16.53336726039016</v>
      </c>
      <c r="E38" s="327">
        <f>16299.72+10939.72+11746.24</f>
        <v>38985.68</v>
      </c>
      <c r="F38" s="327">
        <f>0+8204.79+11713.01</f>
        <v>19917.800000000003</v>
      </c>
      <c r="G38" s="325">
        <f>E38-F38</f>
        <v>19067.879999999997</v>
      </c>
      <c r="H38" s="101">
        <v>11480.4</v>
      </c>
      <c r="I38" s="101">
        <v>15930.84</v>
      </c>
      <c r="J38" s="101">
        <v>1779.74</v>
      </c>
      <c r="K38" s="101"/>
    </row>
    <row r="39" spans="1:11" s="102" customFormat="1" ht="13.5">
      <c r="A39" s="104"/>
      <c r="B39" s="104"/>
      <c r="C39" s="104"/>
      <c r="D39" s="104"/>
      <c r="E39" s="101"/>
      <c r="F39" s="101"/>
      <c r="G39" s="101"/>
      <c r="H39" s="101"/>
      <c r="I39" s="101"/>
      <c r="J39" s="101"/>
      <c r="K39" s="101"/>
    </row>
    <row r="40" spans="1:20" ht="31.5" customHeight="1">
      <c r="A40" s="367" t="s">
        <v>189</v>
      </c>
      <c r="B40" s="403"/>
      <c r="C40" s="403"/>
      <c r="D40" s="403"/>
      <c r="E40" s="403"/>
      <c r="F40" s="403"/>
      <c r="G40" s="403"/>
      <c r="H40" s="58"/>
      <c r="I40" s="58"/>
      <c r="J40" s="58"/>
      <c r="K40" s="58"/>
      <c r="L40" s="513"/>
      <c r="M40" s="513"/>
      <c r="N40" s="270"/>
      <c r="O40" s="270"/>
      <c r="P40" s="229"/>
      <c r="Q40" s="271"/>
      <c r="R40" s="229"/>
      <c r="S40" s="92"/>
      <c r="T40" s="92"/>
    </row>
    <row r="41" spans="12:20" ht="15">
      <c r="L41" s="513"/>
      <c r="M41" s="513"/>
      <c r="N41" s="270"/>
      <c r="O41" s="229"/>
      <c r="P41" s="272"/>
      <c r="Q41" s="272"/>
      <c r="R41" s="229"/>
      <c r="S41" s="92"/>
      <c r="T41" s="92"/>
    </row>
    <row r="42" spans="1:12" s="74" customFormat="1" ht="37.5" customHeight="1">
      <c r="A42" s="105" t="s">
        <v>11</v>
      </c>
      <c r="B42" s="497" t="s">
        <v>45</v>
      </c>
      <c r="C42" s="497"/>
      <c r="D42" s="105" t="s">
        <v>170</v>
      </c>
      <c r="E42" s="105" t="s">
        <v>169</v>
      </c>
      <c r="F42" s="497" t="s">
        <v>46</v>
      </c>
      <c r="G42" s="497"/>
      <c r="H42" s="106"/>
      <c r="I42" s="107"/>
      <c r="L42" s="108"/>
    </row>
    <row r="43" spans="1:12" s="115" customFormat="1" ht="15" customHeight="1">
      <c r="A43" s="109" t="s">
        <v>47</v>
      </c>
      <c r="B43" s="498" t="s">
        <v>114</v>
      </c>
      <c r="C43" s="498"/>
      <c r="D43" s="111"/>
      <c r="E43" s="111"/>
      <c r="F43" s="507">
        <f>SUM(F44:G61)</f>
        <v>323817.8575</v>
      </c>
      <c r="G43" s="508"/>
      <c r="H43" s="113"/>
      <c r="I43" s="114"/>
      <c r="L43" s="116"/>
    </row>
    <row r="44" spans="1:12" ht="15">
      <c r="A44" s="34" t="s">
        <v>16</v>
      </c>
      <c r="B44" s="496" t="s">
        <v>349</v>
      </c>
      <c r="C44" s="496"/>
      <c r="D44" s="119" t="s">
        <v>171</v>
      </c>
      <c r="E44" s="119">
        <v>1</v>
      </c>
      <c r="F44" s="410">
        <v>29300</v>
      </c>
      <c r="G44" s="410"/>
      <c r="H44" s="40"/>
      <c r="I44" s="40"/>
      <c r="L44" s="120"/>
    </row>
    <row r="45" spans="1:12" ht="15">
      <c r="A45" s="34" t="s">
        <v>18</v>
      </c>
      <c r="B45" s="369" t="s">
        <v>675</v>
      </c>
      <c r="C45" s="371"/>
      <c r="D45" s="119" t="s">
        <v>248</v>
      </c>
      <c r="E45" s="119">
        <v>13</v>
      </c>
      <c r="F45" s="420">
        <v>29420.04</v>
      </c>
      <c r="G45" s="421"/>
      <c r="H45" s="40"/>
      <c r="I45" s="40"/>
      <c r="L45" s="120"/>
    </row>
    <row r="46" spans="1:12" ht="15">
      <c r="A46" s="34" t="s">
        <v>20</v>
      </c>
      <c r="B46" s="369" t="s">
        <v>676</v>
      </c>
      <c r="C46" s="371"/>
      <c r="D46" s="119" t="s">
        <v>248</v>
      </c>
      <c r="E46" s="119">
        <v>18</v>
      </c>
      <c r="F46" s="420">
        <v>17692.92</v>
      </c>
      <c r="G46" s="421"/>
      <c r="H46" s="40"/>
      <c r="I46" s="40"/>
      <c r="L46" s="120"/>
    </row>
    <row r="47" spans="1:12" ht="20.25" customHeight="1">
      <c r="A47" s="259" t="s">
        <v>22</v>
      </c>
      <c r="B47" s="369" t="s">
        <v>677</v>
      </c>
      <c r="C47" s="371"/>
      <c r="D47" s="119" t="s">
        <v>240</v>
      </c>
      <c r="E47" s="119">
        <v>0.1</v>
      </c>
      <c r="F47" s="420">
        <v>6264.94</v>
      </c>
      <c r="G47" s="421"/>
      <c r="H47" s="40"/>
      <c r="I47" s="40"/>
      <c r="L47" s="120"/>
    </row>
    <row r="48" spans="1:11" s="67" customFormat="1" ht="21" customHeight="1">
      <c r="A48" s="34" t="s">
        <v>24</v>
      </c>
      <c r="B48" s="369" t="s">
        <v>624</v>
      </c>
      <c r="C48" s="371"/>
      <c r="D48" s="119" t="s">
        <v>241</v>
      </c>
      <c r="E48" s="119">
        <v>0.03</v>
      </c>
      <c r="F48" s="420">
        <v>414.25</v>
      </c>
      <c r="G48" s="421"/>
      <c r="H48" s="59"/>
      <c r="I48" s="59"/>
      <c r="J48" s="59"/>
      <c r="K48" s="59"/>
    </row>
    <row r="49" spans="1:11" s="67" customFormat="1" ht="24" customHeight="1">
      <c r="A49" s="34" t="s">
        <v>106</v>
      </c>
      <c r="B49" s="369" t="s">
        <v>836</v>
      </c>
      <c r="C49" s="371"/>
      <c r="D49" s="119" t="s">
        <v>265</v>
      </c>
      <c r="E49" s="119">
        <v>0.04</v>
      </c>
      <c r="F49" s="420">
        <v>3016.03</v>
      </c>
      <c r="G49" s="421"/>
      <c r="H49" s="59"/>
      <c r="I49" s="59"/>
      <c r="J49" s="59"/>
      <c r="K49" s="59"/>
    </row>
    <row r="50" spans="1:11" s="67" customFormat="1" ht="24" customHeight="1">
      <c r="A50" s="34" t="s">
        <v>107</v>
      </c>
      <c r="B50" s="369" t="s">
        <v>678</v>
      </c>
      <c r="C50" s="371"/>
      <c r="D50" s="119" t="s">
        <v>241</v>
      </c>
      <c r="E50" s="119">
        <v>0.03</v>
      </c>
      <c r="F50" s="420">
        <v>3316.2</v>
      </c>
      <c r="G50" s="421"/>
      <c r="H50" s="59"/>
      <c r="I50" s="59"/>
      <c r="J50" s="59"/>
      <c r="K50" s="59"/>
    </row>
    <row r="51" spans="1:11" s="67" customFormat="1" ht="24" customHeight="1">
      <c r="A51" s="34" t="s">
        <v>120</v>
      </c>
      <c r="B51" s="117" t="s">
        <v>506</v>
      </c>
      <c r="C51" s="118"/>
      <c r="D51" s="119" t="s">
        <v>248</v>
      </c>
      <c r="E51" s="119">
        <v>1</v>
      </c>
      <c r="F51" s="420">
        <v>15450</v>
      </c>
      <c r="G51" s="421"/>
      <c r="H51" s="59"/>
      <c r="I51" s="59"/>
      <c r="J51" s="59"/>
      <c r="K51" s="59"/>
    </row>
    <row r="52" spans="1:11" s="67" customFormat="1" ht="24" customHeight="1">
      <c r="A52" s="34" t="s">
        <v>121</v>
      </c>
      <c r="B52" s="369" t="s">
        <v>679</v>
      </c>
      <c r="C52" s="371"/>
      <c r="D52" s="119" t="s">
        <v>248</v>
      </c>
      <c r="E52" s="119">
        <v>2</v>
      </c>
      <c r="F52" s="420">
        <v>197920</v>
      </c>
      <c r="G52" s="421"/>
      <c r="H52" s="59"/>
      <c r="I52" s="59"/>
      <c r="J52" s="59"/>
      <c r="K52" s="59"/>
    </row>
    <row r="53" spans="1:11" s="67" customFormat="1" ht="20.25" customHeight="1">
      <c r="A53" s="34" t="s">
        <v>122</v>
      </c>
      <c r="B53" s="369" t="s">
        <v>680</v>
      </c>
      <c r="C53" s="371"/>
      <c r="D53" s="119" t="s">
        <v>241</v>
      </c>
      <c r="E53" s="119">
        <v>0.02</v>
      </c>
      <c r="F53" s="420">
        <v>600.05</v>
      </c>
      <c r="G53" s="421"/>
      <c r="H53" s="59"/>
      <c r="I53" s="59"/>
      <c r="J53" s="59"/>
      <c r="K53" s="59"/>
    </row>
    <row r="54" spans="1:11" s="67" customFormat="1" ht="20.25" customHeight="1">
      <c r="A54" s="34" t="s">
        <v>144</v>
      </c>
      <c r="B54" s="369" t="s">
        <v>620</v>
      </c>
      <c r="C54" s="371"/>
      <c r="D54" s="119" t="s">
        <v>505</v>
      </c>
      <c r="E54" s="119">
        <v>0.03</v>
      </c>
      <c r="F54" s="420">
        <v>948.2</v>
      </c>
      <c r="G54" s="421"/>
      <c r="H54" s="59"/>
      <c r="I54" s="59"/>
      <c r="J54" s="59"/>
      <c r="K54" s="59"/>
    </row>
    <row r="55" spans="1:11" s="67" customFormat="1" ht="20.25" customHeight="1">
      <c r="A55" s="34" t="s">
        <v>146</v>
      </c>
      <c r="B55" s="369" t="s">
        <v>620</v>
      </c>
      <c r="C55" s="371"/>
      <c r="D55" s="119" t="s">
        <v>505</v>
      </c>
      <c r="E55" s="119">
        <v>0.05</v>
      </c>
      <c r="F55" s="420">
        <v>1580.34</v>
      </c>
      <c r="G55" s="421"/>
      <c r="H55" s="59"/>
      <c r="I55" s="59"/>
      <c r="J55" s="59"/>
      <c r="K55" s="59"/>
    </row>
    <row r="56" spans="1:11" s="67" customFormat="1" ht="20.25" customHeight="1">
      <c r="A56" s="34" t="s">
        <v>147</v>
      </c>
      <c r="B56" s="369" t="s">
        <v>762</v>
      </c>
      <c r="C56" s="371"/>
      <c r="D56" s="119" t="s">
        <v>248</v>
      </c>
      <c r="E56" s="119">
        <v>2</v>
      </c>
      <c r="F56" s="420">
        <v>1400</v>
      </c>
      <c r="G56" s="421"/>
      <c r="H56" s="59"/>
      <c r="I56" s="59"/>
      <c r="J56" s="59"/>
      <c r="K56" s="59"/>
    </row>
    <row r="57" spans="1:11" s="67" customFormat="1" ht="20.25" customHeight="1">
      <c r="A57" s="34" t="s">
        <v>320</v>
      </c>
      <c r="B57" s="369" t="s">
        <v>747</v>
      </c>
      <c r="C57" s="371"/>
      <c r="D57" s="119" t="s">
        <v>248</v>
      </c>
      <c r="E57" s="119">
        <v>2</v>
      </c>
      <c r="F57" s="420">
        <v>830</v>
      </c>
      <c r="G57" s="421"/>
      <c r="H57" s="59"/>
      <c r="I57" s="59"/>
      <c r="J57" s="59"/>
      <c r="K57" s="59"/>
    </row>
    <row r="58" spans="1:11" s="67" customFormat="1" ht="20.25" customHeight="1">
      <c r="A58" s="34" t="s">
        <v>357</v>
      </c>
      <c r="B58" s="369" t="s">
        <v>747</v>
      </c>
      <c r="C58" s="371"/>
      <c r="D58" s="119" t="s">
        <v>248</v>
      </c>
      <c r="E58" s="119">
        <v>1</v>
      </c>
      <c r="F58" s="420">
        <v>276</v>
      </c>
      <c r="G58" s="421"/>
      <c r="H58" s="59"/>
      <c r="I58" s="59"/>
      <c r="J58" s="59"/>
      <c r="K58" s="59"/>
    </row>
    <row r="59" spans="1:11" s="67" customFormat="1" ht="20.25" customHeight="1">
      <c r="A59" s="34" t="s">
        <v>361</v>
      </c>
      <c r="B59" s="369" t="s">
        <v>747</v>
      </c>
      <c r="C59" s="371"/>
      <c r="D59" s="119" t="s">
        <v>248</v>
      </c>
      <c r="E59" s="119">
        <v>1</v>
      </c>
      <c r="F59" s="420">
        <v>150</v>
      </c>
      <c r="G59" s="421"/>
      <c r="H59" s="59"/>
      <c r="I59" s="59"/>
      <c r="J59" s="59"/>
      <c r="K59" s="59"/>
    </row>
    <row r="60" spans="1:11" s="67" customFormat="1" ht="20.25" customHeight="1">
      <c r="A60" s="34" t="s">
        <v>362</v>
      </c>
      <c r="B60" s="369" t="s">
        <v>756</v>
      </c>
      <c r="C60" s="371"/>
      <c r="D60" s="119" t="s">
        <v>240</v>
      </c>
      <c r="E60" s="119">
        <v>0.04</v>
      </c>
      <c r="F60" s="420">
        <v>11501.04</v>
      </c>
      <c r="G60" s="421"/>
      <c r="H60" s="59"/>
      <c r="I60" s="59"/>
      <c r="J60" s="59"/>
      <c r="K60" s="59"/>
    </row>
    <row r="61" spans="1:11" s="67" customFormat="1" ht="20.25" customHeight="1">
      <c r="A61" s="34" t="s">
        <v>363</v>
      </c>
      <c r="B61" s="408" t="s">
        <v>198</v>
      </c>
      <c r="C61" s="409"/>
      <c r="D61" s="125"/>
      <c r="E61" s="125"/>
      <c r="F61" s="410">
        <f>E25*1%</f>
        <v>3737.8475</v>
      </c>
      <c r="G61" s="410"/>
      <c r="H61" s="59"/>
      <c r="I61" s="59"/>
      <c r="J61" s="59"/>
      <c r="K61" s="59"/>
    </row>
    <row r="62" spans="1:11" s="67" customFormat="1" ht="20.25" customHeight="1">
      <c r="A62" s="41" t="s">
        <v>359</v>
      </c>
      <c r="B62" s="514" t="s">
        <v>195</v>
      </c>
      <c r="C62" s="515"/>
      <c r="D62" s="282"/>
      <c r="E62" s="282"/>
      <c r="F62" s="516">
        <f>F63+F64</f>
        <v>161280</v>
      </c>
      <c r="G62" s="517"/>
      <c r="H62" s="59"/>
      <c r="I62" s="59"/>
      <c r="J62" s="59"/>
      <c r="K62" s="59"/>
    </row>
    <row r="63" spans="1:11" s="67" customFormat="1" ht="8.25" customHeight="1">
      <c r="A63" s="41"/>
      <c r="B63" s="117"/>
      <c r="C63" s="118"/>
      <c r="D63" s="119"/>
      <c r="E63" s="119"/>
      <c r="F63" s="420"/>
      <c r="G63" s="421"/>
      <c r="H63" s="59"/>
      <c r="I63" s="59"/>
      <c r="J63" s="59"/>
      <c r="K63" s="59"/>
    </row>
    <row r="64" spans="1:7" ht="15">
      <c r="A64" s="34" t="s">
        <v>355</v>
      </c>
      <c r="B64" s="369" t="s">
        <v>360</v>
      </c>
      <c r="C64" s="371"/>
      <c r="D64" s="119"/>
      <c r="E64" s="119"/>
      <c r="F64" s="420">
        <f>13440*12</f>
        <v>161280</v>
      </c>
      <c r="G64" s="421"/>
    </row>
    <row r="65" spans="1:7" ht="12.75">
      <c r="A65" s="59"/>
      <c r="B65" s="59"/>
      <c r="C65" s="59"/>
      <c r="D65" s="59"/>
      <c r="E65" s="59"/>
      <c r="F65" s="59"/>
      <c r="G65" s="59"/>
    </row>
    <row r="66" spans="1:7" ht="15">
      <c r="A66" s="67" t="s">
        <v>55</v>
      </c>
      <c r="B66" s="67"/>
      <c r="C66" s="127" t="s">
        <v>49</v>
      </c>
      <c r="D66" s="67"/>
      <c r="E66" s="67"/>
      <c r="F66" s="67" t="s">
        <v>93</v>
      </c>
      <c r="G66" s="67"/>
    </row>
    <row r="67" spans="1:7" ht="15">
      <c r="A67" s="67"/>
      <c r="B67" s="67"/>
      <c r="C67" s="127"/>
      <c r="D67" s="67"/>
      <c r="E67" s="67"/>
      <c r="F67" s="128" t="s">
        <v>516</v>
      </c>
      <c r="G67" s="67"/>
    </row>
    <row r="68" spans="1:7" ht="15">
      <c r="A68" s="67" t="s">
        <v>50</v>
      </c>
      <c r="B68" s="67"/>
      <c r="C68" s="127"/>
      <c r="D68" s="67"/>
      <c r="E68" s="67"/>
      <c r="F68" s="67"/>
      <c r="G68" s="67"/>
    </row>
    <row r="69" spans="1:7" ht="15">
      <c r="A69" s="67"/>
      <c r="B69" s="67"/>
      <c r="C69" s="129" t="s">
        <v>51</v>
      </c>
      <c r="D69" s="67"/>
      <c r="E69" s="130"/>
      <c r="F69" s="130"/>
      <c r="G69" s="130"/>
    </row>
  </sheetData>
  <sheetProtection/>
  <mergeCells count="57">
    <mergeCell ref="B54:C54"/>
    <mergeCell ref="B55:C55"/>
    <mergeCell ref="B62:C62"/>
    <mergeCell ref="F62:G62"/>
    <mergeCell ref="B61:C61"/>
    <mergeCell ref="F61:G61"/>
    <mergeCell ref="B60:C60"/>
    <mergeCell ref="F54:G54"/>
    <mergeCell ref="F57:G57"/>
    <mergeCell ref="F58:G58"/>
    <mergeCell ref="B64:C64"/>
    <mergeCell ref="F64:G64"/>
    <mergeCell ref="B59:C59"/>
    <mergeCell ref="F63:G63"/>
    <mergeCell ref="F59:G59"/>
    <mergeCell ref="F60:G60"/>
    <mergeCell ref="B48:C48"/>
    <mergeCell ref="B56:C56"/>
    <mergeCell ref="B57:C57"/>
    <mergeCell ref="B58:C58"/>
    <mergeCell ref="F53:G53"/>
    <mergeCell ref="F52:G52"/>
    <mergeCell ref="F48:G48"/>
    <mergeCell ref="B49:C49"/>
    <mergeCell ref="F55:G55"/>
    <mergeCell ref="F56:G56"/>
    <mergeCell ref="A1:K1"/>
    <mergeCell ref="A2:K2"/>
    <mergeCell ref="A3:K3"/>
    <mergeCell ref="A5:K5"/>
    <mergeCell ref="A9:K9"/>
    <mergeCell ref="B43:C43"/>
    <mergeCell ref="A11:K11"/>
    <mergeCell ref="A33:C33"/>
    <mergeCell ref="A10:K10"/>
    <mergeCell ref="A32:F32"/>
    <mergeCell ref="F49:G49"/>
    <mergeCell ref="B53:C53"/>
    <mergeCell ref="B50:C50"/>
    <mergeCell ref="B52:C52"/>
    <mergeCell ref="F50:G50"/>
    <mergeCell ref="F51:G51"/>
    <mergeCell ref="L40:M41"/>
    <mergeCell ref="B46:C46"/>
    <mergeCell ref="F46:G46"/>
    <mergeCell ref="B42:C42"/>
    <mergeCell ref="F42:G42"/>
    <mergeCell ref="F43:G43"/>
    <mergeCell ref="A40:G40"/>
    <mergeCell ref="B45:C45"/>
    <mergeCell ref="F45:G45"/>
    <mergeCell ref="B47:C47"/>
    <mergeCell ref="F47:G47"/>
    <mergeCell ref="B44:C44"/>
    <mergeCell ref="F44:G44"/>
    <mergeCell ref="A36:B36"/>
    <mergeCell ref="A37:B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7030A0"/>
  </sheetPr>
  <dimension ref="A1:N61"/>
  <sheetViews>
    <sheetView zoomScalePageLayoutView="0" workbookViewId="0" topLeftCell="A43">
      <selection activeCell="F53" sqref="F53:G53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233</v>
      </c>
      <c r="H7" s="60"/>
    </row>
    <row r="8" spans="1:8" s="59" customFormat="1" ht="12.75">
      <c r="A8" s="59" t="s">
        <v>3</v>
      </c>
      <c r="F8" s="310" t="s">
        <v>456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'[1]Молодежная 48'!$G$36</f>
        <v>645919.1656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46">
        <f>C17+C18+C19+C20+C21</f>
        <v>11.4</v>
      </c>
      <c r="D16" s="76">
        <v>1389373.41</v>
      </c>
      <c r="E16" s="76">
        <v>1379158.56</v>
      </c>
      <c r="F16" s="76">
        <f>SUM(F17:F21)</f>
        <v>1390686.0801578946</v>
      </c>
      <c r="G16" s="77">
        <f aca="true" t="shared" si="0" ref="G16:G21">D16-E16</f>
        <v>10214.84999999986</v>
      </c>
      <c r="H16" s="78">
        <f aca="true" t="shared" si="1" ref="H16:H21">C16</f>
        <v>11.4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421687.0174210526</v>
      </c>
      <c r="E17" s="83">
        <f>E16*I17</f>
        <v>418586.7208421053</v>
      </c>
      <c r="F17" s="83">
        <f aca="true" t="shared" si="2" ref="F17:F23">D17</f>
        <v>421687.0174210526</v>
      </c>
      <c r="G17" s="84">
        <f t="shared" si="0"/>
        <v>3100.2965789473383</v>
      </c>
      <c r="H17" s="78">
        <f t="shared" si="1"/>
        <v>3.46</v>
      </c>
      <c r="I17" s="59">
        <f>H17/H16</f>
        <v>0.30350877192982456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205968.51428947365</v>
      </c>
      <c r="E18" s="83">
        <f>E16*I18</f>
        <v>204454.20757894736</v>
      </c>
      <c r="F18" s="83">
        <f t="shared" si="2"/>
        <v>205968.51428947365</v>
      </c>
      <c r="G18" s="84">
        <f t="shared" si="0"/>
        <v>1514.306710526289</v>
      </c>
      <c r="H18" s="78">
        <f t="shared" si="1"/>
        <v>1.69</v>
      </c>
      <c r="I18" s="59">
        <f>H18/H16</f>
        <v>0.1482456140350877</v>
      </c>
    </row>
    <row r="19" spans="1:9" s="59" customFormat="1" ht="15">
      <c r="A19" s="81" t="s">
        <v>20</v>
      </c>
      <c r="B19" s="34" t="s">
        <v>21</v>
      </c>
      <c r="C19" s="85">
        <v>1.99</v>
      </c>
      <c r="D19" s="83">
        <f>D16*I19</f>
        <v>242530.97244736837</v>
      </c>
      <c r="E19" s="83">
        <f>E16*I19</f>
        <v>240747.85389473682</v>
      </c>
      <c r="F19" s="83">
        <f t="shared" si="2"/>
        <v>242530.97244736837</v>
      </c>
      <c r="G19" s="84">
        <f t="shared" si="0"/>
        <v>1783.118552631553</v>
      </c>
      <c r="H19" s="78">
        <f t="shared" si="1"/>
        <v>1.99</v>
      </c>
      <c r="I19" s="59">
        <f>H19/H16</f>
        <v>0.17456140350877192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370499.576</v>
      </c>
      <c r="E20" s="83">
        <f>E16*I20</f>
        <v>367775.61600000004</v>
      </c>
      <c r="F20" s="83">
        <f t="shared" si="2"/>
        <v>370499.576</v>
      </c>
      <c r="G20" s="84">
        <f t="shared" si="0"/>
        <v>2723.9599999999627</v>
      </c>
      <c r="H20" s="78">
        <f t="shared" si="1"/>
        <v>3.04</v>
      </c>
      <c r="I20" s="59">
        <f>H20/H16</f>
        <v>0.26666666666666666</v>
      </c>
    </row>
    <row r="21" spans="1:9" s="277" customFormat="1" ht="15">
      <c r="A21" s="273" t="s">
        <v>24</v>
      </c>
      <c r="B21" s="274" t="s">
        <v>195</v>
      </c>
      <c r="C21" s="82">
        <v>1.22</v>
      </c>
      <c r="D21" s="275">
        <f>D16*I21</f>
        <v>148687.32984210525</v>
      </c>
      <c r="E21" s="275">
        <f>E16*I21</f>
        <v>147594.16168421053</v>
      </c>
      <c r="F21" s="245">
        <f>F55</f>
        <v>150000</v>
      </c>
      <c r="G21" s="84">
        <f t="shared" si="0"/>
        <v>1093.1681578947173</v>
      </c>
      <c r="H21" s="276">
        <f t="shared" si="1"/>
        <v>1.22</v>
      </c>
      <c r="I21" s="277">
        <f>H21/H16</f>
        <v>0.10701754385964912</v>
      </c>
    </row>
    <row r="22" spans="1:11" s="89" customFormat="1" ht="14.25">
      <c r="A22" s="86" t="s">
        <v>25</v>
      </c>
      <c r="B22" s="86" t="s">
        <v>26</v>
      </c>
      <c r="C22" s="46">
        <v>3.86</v>
      </c>
      <c r="D22" s="87">
        <v>468044.24</v>
      </c>
      <c r="E22" s="87">
        <v>464252.62</v>
      </c>
      <c r="F22" s="87">
        <f t="shared" si="2"/>
        <v>468044.24</v>
      </c>
      <c r="G22" s="77">
        <f aca="true" t="shared" si="3" ref="G22:G31">D22-E22</f>
        <v>3791.6199999999953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28</v>
      </c>
      <c r="C23" s="46">
        <v>0</v>
      </c>
      <c r="D23" s="87">
        <v>0</v>
      </c>
      <c r="E23" s="87">
        <v>0</v>
      </c>
      <c r="F23" s="87">
        <f t="shared" si="2"/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246</v>
      </c>
      <c r="C24" s="46">
        <v>100</v>
      </c>
      <c r="D24" s="87">
        <v>232800</v>
      </c>
      <c r="E24" s="87">
        <v>231174.89</v>
      </c>
      <c r="F24" s="87">
        <f>D24</f>
        <v>232800</v>
      </c>
      <c r="G24" s="77">
        <f t="shared" si="3"/>
        <v>1625.109999999986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119</v>
      </c>
      <c r="C25" s="95">
        <v>2.06</v>
      </c>
      <c r="D25" s="87">
        <v>250532.33</v>
      </c>
      <c r="E25" s="87">
        <v>248526.55</v>
      </c>
      <c r="F25" s="87">
        <f>F40</f>
        <v>188374.65550000002</v>
      </c>
      <c r="G25" s="77">
        <f t="shared" si="3"/>
        <v>2005.7799999999988</v>
      </c>
      <c r="H25" s="88"/>
      <c r="I25" s="88"/>
      <c r="J25" s="88"/>
      <c r="K25" s="269"/>
    </row>
    <row r="26" spans="1:12" ht="14.25">
      <c r="A26" s="41" t="s">
        <v>33</v>
      </c>
      <c r="B26" s="41" t="s">
        <v>168</v>
      </c>
      <c r="C26" s="97" t="s">
        <v>395</v>
      </c>
      <c r="D26" s="77">
        <v>0</v>
      </c>
      <c r="E26" s="77">
        <v>0</v>
      </c>
      <c r="F26" s="87">
        <f>D26</f>
        <v>0</v>
      </c>
      <c r="G26" s="77">
        <f t="shared" si="3"/>
        <v>0</v>
      </c>
      <c r="H26" s="98"/>
      <c r="I26" s="98"/>
      <c r="J26" s="98"/>
      <c r="K26" s="98"/>
      <c r="L26" s="221"/>
    </row>
    <row r="27" spans="1:11" ht="14.25">
      <c r="A27" s="41" t="s">
        <v>35</v>
      </c>
      <c r="B27" s="41" t="s">
        <v>36</v>
      </c>
      <c r="C27" s="97"/>
      <c r="D27" s="77">
        <f>SUM(D28:D31)</f>
        <v>6826683.05</v>
      </c>
      <c r="E27" s="77">
        <f>SUM(E28:E31)</f>
        <v>6791553.68</v>
      </c>
      <c r="F27" s="77">
        <f>SUM(F28:F31)</f>
        <v>6826683.05</v>
      </c>
      <c r="G27" s="77">
        <f t="shared" si="3"/>
        <v>35129.37000000011</v>
      </c>
      <c r="H27" s="98"/>
      <c r="I27" s="98"/>
      <c r="J27" s="98"/>
      <c r="K27" s="98"/>
    </row>
    <row r="28" spans="1:7" ht="15">
      <c r="A28" s="34" t="s">
        <v>37</v>
      </c>
      <c r="B28" s="34" t="s">
        <v>180</v>
      </c>
      <c r="C28" s="301" t="s">
        <v>413</v>
      </c>
      <c r="D28" s="84">
        <v>1411952.61</v>
      </c>
      <c r="E28" s="84">
        <v>1410068.2</v>
      </c>
      <c r="F28" s="84">
        <f>D28</f>
        <v>1411952.61</v>
      </c>
      <c r="G28" s="84">
        <f t="shared" si="3"/>
        <v>1884.410000000149</v>
      </c>
    </row>
    <row r="29" spans="1:7" ht="15">
      <c r="A29" s="34" t="s">
        <v>39</v>
      </c>
      <c r="B29" s="34" t="s">
        <v>142</v>
      </c>
      <c r="C29" s="293" t="s">
        <v>382</v>
      </c>
      <c r="D29" s="84">
        <v>695680.23</v>
      </c>
      <c r="E29" s="84">
        <v>727703.85</v>
      </c>
      <c r="F29" s="84">
        <f>D29</f>
        <v>695680.23</v>
      </c>
      <c r="G29" s="84">
        <f t="shared" si="3"/>
        <v>-32023.619999999995</v>
      </c>
    </row>
    <row r="30" spans="1:7" ht="26.25">
      <c r="A30" s="34" t="s">
        <v>42</v>
      </c>
      <c r="B30" s="34" t="s">
        <v>143</v>
      </c>
      <c r="C30" s="49" t="s">
        <v>279</v>
      </c>
      <c r="D30" s="84">
        <v>1140074.84</v>
      </c>
      <c r="E30" s="84">
        <v>1103328.97</v>
      </c>
      <c r="F30" s="84">
        <f>D30</f>
        <v>1140074.84</v>
      </c>
      <c r="G30" s="84">
        <f t="shared" si="3"/>
        <v>36745.87000000011</v>
      </c>
    </row>
    <row r="31" spans="1:7" ht="15">
      <c r="A31" s="34" t="s">
        <v>41</v>
      </c>
      <c r="B31" s="34" t="s">
        <v>43</v>
      </c>
      <c r="C31" s="301" t="s">
        <v>457</v>
      </c>
      <c r="D31" s="84">
        <v>3578975.37</v>
      </c>
      <c r="E31" s="84">
        <v>3550452.66</v>
      </c>
      <c r="F31" s="84">
        <f>D31</f>
        <v>3578975.37</v>
      </c>
      <c r="G31" s="84">
        <f t="shared" si="3"/>
        <v>28522.709999999963</v>
      </c>
    </row>
    <row r="32" spans="1:9" s="102" customFormat="1" ht="15.75" customHeight="1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</row>
    <row r="33" spans="1:9" s="67" customFormat="1" ht="15.75" thickBot="1">
      <c r="A33" s="378" t="s">
        <v>383</v>
      </c>
      <c r="B33" s="379"/>
      <c r="C33" s="379"/>
      <c r="D33" s="65">
        <v>1677695.62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11" s="67" customFormat="1" ht="15.75" thickBot="1">
      <c r="A35" s="63" t="s">
        <v>387</v>
      </c>
      <c r="B35" s="64"/>
      <c r="C35" s="64"/>
      <c r="D35" s="69"/>
      <c r="E35" s="70"/>
      <c r="F35" s="70"/>
      <c r="G35" s="146">
        <f>G13+E25-F25</f>
        <v>706071.0601</v>
      </c>
      <c r="H35" s="62"/>
      <c r="I35" s="62"/>
      <c r="K35" s="147"/>
    </row>
    <row r="36" spans="1:11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1" ht="31.5" customHeight="1">
      <c r="A37" s="367" t="s">
        <v>189</v>
      </c>
      <c r="B37" s="518"/>
      <c r="C37" s="518"/>
      <c r="D37" s="518"/>
      <c r="E37" s="518"/>
      <c r="F37" s="518"/>
      <c r="G37" s="518"/>
      <c r="H37" s="58"/>
      <c r="I37" s="58"/>
      <c r="J37" s="58"/>
      <c r="K37" s="58"/>
    </row>
    <row r="38" spans="1:7" ht="12.75">
      <c r="A38" s="519"/>
      <c r="B38" s="519"/>
      <c r="C38" s="519"/>
      <c r="D38" s="519"/>
      <c r="E38" s="519"/>
      <c r="F38" s="519"/>
      <c r="G38" s="519"/>
    </row>
    <row r="39" spans="1:12" s="74" customFormat="1" ht="37.5" customHeight="1">
      <c r="A39" s="105" t="s">
        <v>11</v>
      </c>
      <c r="B39" s="394" t="s">
        <v>45</v>
      </c>
      <c r="C39" s="405"/>
      <c r="D39" s="105" t="s">
        <v>170</v>
      </c>
      <c r="E39" s="105" t="s">
        <v>169</v>
      </c>
      <c r="F39" s="394" t="s">
        <v>46</v>
      </c>
      <c r="G39" s="405"/>
      <c r="H39" s="251"/>
      <c r="I39" s="252"/>
      <c r="L39" s="108"/>
    </row>
    <row r="40" spans="1:12" s="115" customFormat="1" ht="15" customHeight="1">
      <c r="A40" s="109" t="s">
        <v>47</v>
      </c>
      <c r="B40" s="396" t="s">
        <v>114</v>
      </c>
      <c r="C40" s="399"/>
      <c r="D40" s="111"/>
      <c r="E40" s="111"/>
      <c r="F40" s="411">
        <f>SUM(F41:J54)</f>
        <v>188374.65550000002</v>
      </c>
      <c r="G40" s="404"/>
      <c r="H40" s="253"/>
      <c r="I40" s="254"/>
      <c r="L40" s="116"/>
    </row>
    <row r="41" spans="1:12" ht="15">
      <c r="A41" s="34" t="s">
        <v>16</v>
      </c>
      <c r="B41" s="369" t="s">
        <v>681</v>
      </c>
      <c r="C41" s="371"/>
      <c r="D41" s="119" t="s">
        <v>171</v>
      </c>
      <c r="E41" s="119">
        <v>2</v>
      </c>
      <c r="F41" s="420">
        <v>28596.17</v>
      </c>
      <c r="G41" s="421"/>
      <c r="H41" s="255"/>
      <c r="I41" s="256"/>
      <c r="L41" s="120"/>
    </row>
    <row r="42" spans="1:12" ht="15">
      <c r="A42" s="34" t="s">
        <v>18</v>
      </c>
      <c r="B42" s="496" t="s">
        <v>682</v>
      </c>
      <c r="C42" s="496"/>
      <c r="D42" s="119" t="s">
        <v>241</v>
      </c>
      <c r="E42" s="119">
        <v>0.01</v>
      </c>
      <c r="F42" s="410">
        <v>450.81</v>
      </c>
      <c r="G42" s="410"/>
      <c r="H42" s="40"/>
      <c r="I42" s="40"/>
      <c r="L42" s="120"/>
    </row>
    <row r="43" spans="1:12" ht="15">
      <c r="A43" s="34" t="s">
        <v>20</v>
      </c>
      <c r="B43" s="369" t="s">
        <v>683</v>
      </c>
      <c r="C43" s="371"/>
      <c r="D43" s="119" t="s">
        <v>241</v>
      </c>
      <c r="E43" s="119">
        <v>0.01</v>
      </c>
      <c r="F43" s="420">
        <v>450.98</v>
      </c>
      <c r="G43" s="421"/>
      <c r="H43" s="40"/>
      <c r="I43" s="40"/>
      <c r="L43" s="120"/>
    </row>
    <row r="44" spans="1:12" ht="18" customHeight="1">
      <c r="A44" s="259" t="s">
        <v>22</v>
      </c>
      <c r="B44" s="369" t="s">
        <v>684</v>
      </c>
      <c r="C44" s="422"/>
      <c r="D44" s="119" t="s">
        <v>265</v>
      </c>
      <c r="E44" s="119">
        <v>0.15</v>
      </c>
      <c r="F44" s="420">
        <v>17538.64</v>
      </c>
      <c r="G44" s="421"/>
      <c r="H44" s="40"/>
      <c r="I44" s="40"/>
      <c r="L44" s="120"/>
    </row>
    <row r="45" spans="1:11" s="67" customFormat="1" ht="21" customHeight="1">
      <c r="A45" s="34" t="s">
        <v>24</v>
      </c>
      <c r="B45" s="369" t="s">
        <v>688</v>
      </c>
      <c r="C45" s="422"/>
      <c r="D45" s="119" t="s">
        <v>685</v>
      </c>
      <c r="E45" s="119">
        <v>2</v>
      </c>
      <c r="F45" s="420">
        <v>4359.56</v>
      </c>
      <c r="G45" s="421"/>
      <c r="H45" s="59"/>
      <c r="I45" s="59"/>
      <c r="J45" s="59"/>
      <c r="K45" s="59"/>
    </row>
    <row r="46" spans="1:11" s="67" customFormat="1" ht="18" customHeight="1">
      <c r="A46" s="34" t="s">
        <v>106</v>
      </c>
      <c r="B46" s="369" t="s">
        <v>624</v>
      </c>
      <c r="C46" s="422"/>
      <c r="D46" s="119" t="s">
        <v>241</v>
      </c>
      <c r="E46" s="119">
        <v>0.04</v>
      </c>
      <c r="F46" s="420">
        <v>787.19</v>
      </c>
      <c r="G46" s="421"/>
      <c r="H46" s="59"/>
      <c r="I46" s="59"/>
      <c r="J46" s="59"/>
      <c r="K46" s="59"/>
    </row>
    <row r="47" spans="1:11" s="67" customFormat="1" ht="18" customHeight="1">
      <c r="A47" s="34" t="s">
        <v>107</v>
      </c>
      <c r="B47" s="369" t="s">
        <v>506</v>
      </c>
      <c r="C47" s="422"/>
      <c r="D47" s="119" t="s">
        <v>171</v>
      </c>
      <c r="E47" s="119">
        <v>1</v>
      </c>
      <c r="F47" s="420">
        <v>21860</v>
      </c>
      <c r="G47" s="421"/>
      <c r="H47" s="59"/>
      <c r="I47" s="59"/>
      <c r="J47" s="59"/>
      <c r="K47" s="59"/>
    </row>
    <row r="48" spans="1:11" s="67" customFormat="1" ht="18" customHeight="1">
      <c r="A48" s="34" t="s">
        <v>120</v>
      </c>
      <c r="B48" s="369" t="s">
        <v>686</v>
      </c>
      <c r="C48" s="422"/>
      <c r="D48" s="119" t="s">
        <v>248</v>
      </c>
      <c r="E48" s="119">
        <v>1</v>
      </c>
      <c r="F48" s="420">
        <v>16309.6</v>
      </c>
      <c r="G48" s="421"/>
      <c r="H48" s="59"/>
      <c r="I48" s="59"/>
      <c r="J48" s="59"/>
      <c r="K48" s="59"/>
    </row>
    <row r="49" spans="1:11" s="67" customFormat="1" ht="18" customHeight="1">
      <c r="A49" s="34" t="s">
        <v>121</v>
      </c>
      <c r="B49" s="369" t="s">
        <v>687</v>
      </c>
      <c r="C49" s="422"/>
      <c r="D49" s="119" t="s">
        <v>171</v>
      </c>
      <c r="E49" s="119">
        <v>1</v>
      </c>
      <c r="F49" s="420">
        <v>3666</v>
      </c>
      <c r="G49" s="421"/>
      <c r="H49" s="59"/>
      <c r="I49" s="59"/>
      <c r="J49" s="59"/>
      <c r="K49" s="59"/>
    </row>
    <row r="50" spans="1:11" s="67" customFormat="1" ht="18" customHeight="1">
      <c r="A50" s="34" t="s">
        <v>122</v>
      </c>
      <c r="B50" s="117" t="s">
        <v>761</v>
      </c>
      <c r="C50" s="358"/>
      <c r="D50" s="119" t="s">
        <v>505</v>
      </c>
      <c r="E50" s="119">
        <v>0.05</v>
      </c>
      <c r="F50" s="420">
        <v>737.44</v>
      </c>
      <c r="G50" s="421"/>
      <c r="H50" s="59"/>
      <c r="I50" s="59"/>
      <c r="J50" s="59"/>
      <c r="K50" s="59"/>
    </row>
    <row r="51" spans="1:11" s="67" customFormat="1" ht="15" customHeight="1">
      <c r="A51" s="34" t="s">
        <v>144</v>
      </c>
      <c r="B51" s="369" t="s">
        <v>762</v>
      </c>
      <c r="C51" s="422"/>
      <c r="D51" s="119" t="s">
        <v>248</v>
      </c>
      <c r="E51" s="119">
        <v>1</v>
      </c>
      <c r="F51" s="455">
        <v>700</v>
      </c>
      <c r="G51" s="456"/>
      <c r="H51" s="59"/>
      <c r="I51" s="59"/>
      <c r="J51" s="59"/>
      <c r="K51" s="59"/>
    </row>
    <row r="52" spans="1:11" s="67" customFormat="1" ht="15" customHeight="1">
      <c r="A52" s="34" t="s">
        <v>146</v>
      </c>
      <c r="B52" s="369" t="s">
        <v>848</v>
      </c>
      <c r="C52" s="422"/>
      <c r="D52" s="119" t="s">
        <v>174</v>
      </c>
      <c r="E52" s="119">
        <v>50</v>
      </c>
      <c r="F52" s="455">
        <v>63218</v>
      </c>
      <c r="G52" s="456"/>
      <c r="H52" s="59"/>
      <c r="I52" s="59"/>
      <c r="J52" s="59"/>
      <c r="K52" s="59"/>
    </row>
    <row r="53" spans="1:11" s="67" customFormat="1" ht="15" customHeight="1">
      <c r="A53" s="34" t="s">
        <v>147</v>
      </c>
      <c r="B53" s="369" t="s">
        <v>849</v>
      </c>
      <c r="C53" s="422"/>
      <c r="D53" s="119" t="s">
        <v>174</v>
      </c>
      <c r="E53" s="119">
        <v>30</v>
      </c>
      <c r="F53" s="455">
        <v>27215</v>
      </c>
      <c r="G53" s="456"/>
      <c r="H53" s="59"/>
      <c r="I53" s="59"/>
      <c r="J53" s="59"/>
      <c r="K53" s="59"/>
    </row>
    <row r="54" spans="1:11" s="67" customFormat="1" ht="18.75" customHeight="1">
      <c r="A54" s="34" t="s">
        <v>320</v>
      </c>
      <c r="B54" s="408" t="s">
        <v>198</v>
      </c>
      <c r="C54" s="409"/>
      <c r="D54" s="125"/>
      <c r="E54" s="125"/>
      <c r="F54" s="410">
        <f>E25*1%</f>
        <v>2485.2655</v>
      </c>
      <c r="G54" s="410"/>
      <c r="H54" s="59"/>
      <c r="I54" s="59"/>
      <c r="J54" s="59"/>
      <c r="K54" s="59"/>
    </row>
    <row r="55" spans="1:11" s="67" customFormat="1" ht="27.75" customHeight="1">
      <c r="A55" s="41" t="s">
        <v>359</v>
      </c>
      <c r="B55" s="514" t="s">
        <v>195</v>
      </c>
      <c r="C55" s="515"/>
      <c r="D55" s="119"/>
      <c r="E55" s="119"/>
      <c r="F55" s="516">
        <f>F56</f>
        <v>150000</v>
      </c>
      <c r="G55" s="517"/>
      <c r="H55" s="59"/>
      <c r="I55" s="59"/>
      <c r="J55" s="59"/>
      <c r="K55" s="59"/>
    </row>
    <row r="56" spans="1:7" ht="15">
      <c r="A56" s="34" t="s">
        <v>355</v>
      </c>
      <c r="B56" s="369" t="s">
        <v>360</v>
      </c>
      <c r="C56" s="371"/>
      <c r="D56" s="125"/>
      <c r="E56" s="125"/>
      <c r="F56" s="420">
        <f>12500*12</f>
        <v>150000</v>
      </c>
      <c r="G56" s="421"/>
    </row>
    <row r="57" spans="1:7" ht="12.75">
      <c r="A57" s="59"/>
      <c r="B57" s="59"/>
      <c r="C57" s="59"/>
      <c r="D57" s="59"/>
      <c r="E57" s="59"/>
      <c r="F57" s="59"/>
      <c r="G57" s="59"/>
    </row>
    <row r="58" spans="1:7" ht="15">
      <c r="A58" s="67" t="s">
        <v>55</v>
      </c>
      <c r="B58" s="67"/>
      <c r="C58" s="127" t="s">
        <v>49</v>
      </c>
      <c r="D58" s="67"/>
      <c r="E58" s="67"/>
      <c r="F58" s="67" t="s">
        <v>93</v>
      </c>
      <c r="G58" s="67"/>
    </row>
    <row r="59" spans="1:7" ht="15">
      <c r="A59" s="67"/>
      <c r="B59" s="67"/>
      <c r="C59" s="127"/>
      <c r="D59" s="67"/>
      <c r="E59" s="67"/>
      <c r="F59" s="128" t="s">
        <v>516</v>
      </c>
      <c r="G59" s="67"/>
    </row>
    <row r="60" spans="1:7" ht="15">
      <c r="A60" s="67" t="s">
        <v>50</v>
      </c>
      <c r="B60" s="67"/>
      <c r="C60" s="127"/>
      <c r="D60" s="67"/>
      <c r="E60" s="67"/>
      <c r="F60" s="67"/>
      <c r="G60" s="67"/>
    </row>
    <row r="61" spans="1:7" ht="15">
      <c r="A61" s="67"/>
      <c r="B61" s="67"/>
      <c r="C61" s="129" t="s">
        <v>51</v>
      </c>
      <c r="D61" s="67"/>
      <c r="E61" s="130"/>
      <c r="F61" s="130"/>
      <c r="G61" s="130"/>
    </row>
  </sheetData>
  <sheetProtection/>
  <mergeCells count="45">
    <mergeCell ref="A11:K11"/>
    <mergeCell ref="A33:C33"/>
    <mergeCell ref="A1:K1"/>
    <mergeCell ref="A2:K2"/>
    <mergeCell ref="A3:K3"/>
    <mergeCell ref="A5:K5"/>
    <mergeCell ref="A9:K9"/>
    <mergeCell ref="A10:K10"/>
    <mergeCell ref="B56:C56"/>
    <mergeCell ref="F56:G56"/>
    <mergeCell ref="B44:C44"/>
    <mergeCell ref="F44:G44"/>
    <mergeCell ref="B45:C45"/>
    <mergeCell ref="F45:G45"/>
    <mergeCell ref="B46:C46"/>
    <mergeCell ref="B47:C47"/>
    <mergeCell ref="B48:C48"/>
    <mergeCell ref="F46:G46"/>
    <mergeCell ref="F39:G39"/>
    <mergeCell ref="A37:G38"/>
    <mergeCell ref="A32:F32"/>
    <mergeCell ref="B40:C40"/>
    <mergeCell ref="F40:G40"/>
    <mergeCell ref="F47:G47"/>
    <mergeCell ref="F43:G43"/>
    <mergeCell ref="B39:C39"/>
    <mergeCell ref="F48:G48"/>
    <mergeCell ref="F49:G49"/>
    <mergeCell ref="F51:G51"/>
    <mergeCell ref="B41:C41"/>
    <mergeCell ref="F41:G41"/>
    <mergeCell ref="B42:C42"/>
    <mergeCell ref="F42:G42"/>
    <mergeCell ref="B43:C43"/>
    <mergeCell ref="F50:G50"/>
    <mergeCell ref="B55:C55"/>
    <mergeCell ref="F55:G55"/>
    <mergeCell ref="B54:C54"/>
    <mergeCell ref="B49:C49"/>
    <mergeCell ref="B51:C51"/>
    <mergeCell ref="F54:G54"/>
    <mergeCell ref="B52:C52"/>
    <mergeCell ref="B53:C53"/>
    <mergeCell ref="F52:G52"/>
    <mergeCell ref="F53:G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7030A0"/>
  </sheetPr>
  <dimension ref="A1:U73"/>
  <sheetViews>
    <sheetView zoomScale="98" zoomScaleNormal="98" zoomScalePageLayoutView="0" workbookViewId="0" topLeftCell="A49">
      <selection activeCell="G36" sqref="G36"/>
    </sheetView>
  </sheetViews>
  <sheetFormatPr defaultColWidth="9.140625" defaultRowHeight="15" outlineLevelCol="1"/>
  <cols>
    <col min="1" max="1" width="6.00390625" style="57" customWidth="1"/>
    <col min="2" max="2" width="47.140625" style="57" customWidth="1"/>
    <col min="3" max="3" width="10.7109375" style="57" customWidth="1"/>
    <col min="4" max="4" width="14.8515625" style="57" customWidth="1"/>
    <col min="5" max="5" width="13.28125" style="57" customWidth="1"/>
    <col min="6" max="6" width="13.7109375" style="57" customWidth="1"/>
    <col min="7" max="7" width="13.57421875" style="57" customWidth="1"/>
    <col min="8" max="9" width="11.57421875" style="57" hidden="1" customWidth="1" outlineLevel="1"/>
    <col min="10" max="10" width="10.140625" style="57" hidden="1" customWidth="1" outlineLevel="1"/>
    <col min="11" max="11" width="11.8515625" style="57" customWidth="1" collapsed="1"/>
    <col min="12" max="12" width="10.710937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301</v>
      </c>
      <c r="H7" s="60"/>
    </row>
    <row r="8" spans="1:9" s="59" customFormat="1" ht="12.75">
      <c r="A8" s="59" t="s">
        <v>3</v>
      </c>
      <c r="F8" s="310" t="s">
        <v>302</v>
      </c>
      <c r="H8" s="60">
        <v>45.7</v>
      </c>
      <c r="I8" s="61">
        <f>9080.2+45.7</f>
        <v>9125.900000000001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458</v>
      </c>
      <c r="B13" s="64"/>
      <c r="C13" s="64"/>
      <c r="D13" s="69"/>
      <c r="E13" s="70"/>
      <c r="F13" s="70"/>
      <c r="G13" s="71">
        <f>'[2]Солнечный бульвар 20'!$G$37</f>
        <v>-138112.338</v>
      </c>
      <c r="H13" s="62"/>
      <c r="I13" s="62"/>
    </row>
    <row r="14" spans="1:9" s="67" customFormat="1" ht="15.75" thickBot="1">
      <c r="A14" s="63" t="s">
        <v>835</v>
      </c>
      <c r="B14" s="64"/>
      <c r="C14" s="64"/>
      <c r="D14" s="69"/>
      <c r="E14" s="70"/>
      <c r="F14" s="70"/>
      <c r="G14" s="71">
        <f>'[2]Солнечный бульвар 20'!$G$38</f>
        <v>-112262.33999999997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94</v>
      </c>
      <c r="D16" s="72" t="s">
        <v>374</v>
      </c>
      <c r="E16" s="72" t="s">
        <v>375</v>
      </c>
      <c r="F16" s="73" t="s">
        <v>376</v>
      </c>
      <c r="G16" s="72" t="s">
        <v>377</v>
      </c>
    </row>
    <row r="17" spans="1:14" s="59" customFormat="1" ht="28.5">
      <c r="A17" s="75" t="s">
        <v>14</v>
      </c>
      <c r="B17" s="41" t="s">
        <v>15</v>
      </c>
      <c r="C17" s="46">
        <f>C18+C19+C20+C21+C22</f>
        <v>13.84</v>
      </c>
      <c r="D17" s="76">
        <v>1496337.72</v>
      </c>
      <c r="E17" s="76">
        <v>1513374.95</v>
      </c>
      <c r="F17" s="76">
        <f aca="true" t="shared" si="0" ref="F17:F24">D17</f>
        <v>1496337.72</v>
      </c>
      <c r="G17" s="77">
        <f aca="true" t="shared" si="1" ref="G17:G22">D17-E17</f>
        <v>-17037.22999999998</v>
      </c>
      <c r="H17" s="78">
        <f aca="true" t="shared" si="2" ref="H17:H22">C17</f>
        <v>13.84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374084.43</v>
      </c>
      <c r="E18" s="83">
        <f>E17*I18</f>
        <v>378343.7375</v>
      </c>
      <c r="F18" s="83">
        <f t="shared" si="0"/>
        <v>374084.43</v>
      </c>
      <c r="G18" s="84">
        <f t="shared" si="1"/>
        <v>-4259.307499999995</v>
      </c>
      <c r="H18" s="78">
        <f t="shared" si="2"/>
        <v>3.46</v>
      </c>
      <c r="I18" s="59">
        <f>H18/H17</f>
        <v>0.25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182717.5395086705</v>
      </c>
      <c r="E19" s="83">
        <f>E17*I19</f>
        <v>184797.95270953758</v>
      </c>
      <c r="F19" s="83">
        <f t="shared" si="0"/>
        <v>182717.5395086705</v>
      </c>
      <c r="G19" s="84">
        <f t="shared" si="1"/>
        <v>-2080.4132008670713</v>
      </c>
      <c r="H19" s="78">
        <f t="shared" si="2"/>
        <v>1.69</v>
      </c>
      <c r="I19" s="59">
        <f>H19/H17</f>
        <v>0.12210982658959538</v>
      </c>
    </row>
    <row r="20" spans="1:9" s="59" customFormat="1" ht="15">
      <c r="A20" s="81" t="s">
        <v>20</v>
      </c>
      <c r="B20" s="34" t="s">
        <v>21</v>
      </c>
      <c r="C20" s="82">
        <v>2.15</v>
      </c>
      <c r="D20" s="83">
        <f>D17*I20</f>
        <v>232451.30765895953</v>
      </c>
      <c r="E20" s="83">
        <f>E17*I20</f>
        <v>235097.9871748555</v>
      </c>
      <c r="F20" s="83">
        <f t="shared" si="0"/>
        <v>232451.30765895953</v>
      </c>
      <c r="G20" s="84">
        <f t="shared" si="1"/>
        <v>-2646.6795158959576</v>
      </c>
      <c r="H20" s="78">
        <f t="shared" si="2"/>
        <v>2.15</v>
      </c>
      <c r="I20" s="59">
        <f>H20/H17</f>
        <v>0.15534682080924855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328675.33734104043</v>
      </c>
      <c r="E21" s="83">
        <f>E17*I21</f>
        <v>332417.6190751445</v>
      </c>
      <c r="F21" s="83">
        <f t="shared" si="0"/>
        <v>328675.33734104043</v>
      </c>
      <c r="G21" s="84">
        <f t="shared" si="1"/>
        <v>-3742.2817341040936</v>
      </c>
      <c r="H21" s="78">
        <f t="shared" si="2"/>
        <v>3.04</v>
      </c>
      <c r="I21" s="59">
        <f>H21/H17</f>
        <v>0.21965317919075145</v>
      </c>
    </row>
    <row r="22" spans="1:9" s="59" customFormat="1" ht="15">
      <c r="A22" s="81" t="s">
        <v>24</v>
      </c>
      <c r="B22" s="34" t="s">
        <v>190</v>
      </c>
      <c r="C22" s="85">
        <v>3.5</v>
      </c>
      <c r="D22" s="83">
        <f>D17*I22</f>
        <v>378409.1054913295</v>
      </c>
      <c r="E22" s="83">
        <f>E17*I22</f>
        <v>382717.65354046243</v>
      </c>
      <c r="F22" s="83">
        <f t="shared" si="0"/>
        <v>378409.1054913295</v>
      </c>
      <c r="G22" s="84">
        <f t="shared" si="1"/>
        <v>-4308.548049132922</v>
      </c>
      <c r="H22" s="78">
        <f t="shared" si="2"/>
        <v>3.5</v>
      </c>
      <c r="I22" s="59">
        <f>H22/H17</f>
        <v>0.25289017341040465</v>
      </c>
    </row>
    <row r="23" spans="1:11" s="89" customFormat="1" ht="14.25">
      <c r="A23" s="86" t="s">
        <v>25</v>
      </c>
      <c r="B23" s="86" t="s">
        <v>26</v>
      </c>
      <c r="C23" s="46">
        <v>3.86</v>
      </c>
      <c r="D23" s="87">
        <v>412699.51</v>
      </c>
      <c r="E23" s="87">
        <v>418874.55</v>
      </c>
      <c r="F23" s="87">
        <f t="shared" si="0"/>
        <v>412699.51</v>
      </c>
      <c r="G23" s="77">
        <f aca="true" t="shared" si="3" ref="G23:G32">D23-E23</f>
        <v>-6175.039999999979</v>
      </c>
      <c r="H23" s="88"/>
      <c r="I23" s="88"/>
      <c r="J23" s="88"/>
      <c r="K23" s="88"/>
    </row>
    <row r="24" spans="1:11" s="89" customFormat="1" ht="14.25">
      <c r="A24" s="86" t="s">
        <v>27</v>
      </c>
      <c r="B24" s="86" t="s">
        <v>28</v>
      </c>
      <c r="C24" s="46">
        <v>0</v>
      </c>
      <c r="D24" s="87">
        <v>0</v>
      </c>
      <c r="E24" s="87">
        <v>0</v>
      </c>
      <c r="F24" s="87">
        <f t="shared" si="0"/>
        <v>0</v>
      </c>
      <c r="G24" s="77">
        <f t="shared" si="3"/>
        <v>0</v>
      </c>
      <c r="H24" s="88"/>
      <c r="I24" s="88"/>
      <c r="J24" s="88"/>
      <c r="K24" s="88"/>
    </row>
    <row r="25" spans="1:21" s="89" customFormat="1" ht="28.5">
      <c r="A25" s="86" t="s">
        <v>29</v>
      </c>
      <c r="B25" s="86" t="s">
        <v>778</v>
      </c>
      <c r="C25" s="46">
        <v>7.12</v>
      </c>
      <c r="D25" s="90">
        <v>772967.64</v>
      </c>
      <c r="E25" s="90">
        <v>785764.07</v>
      </c>
      <c r="F25" s="87">
        <f>F58</f>
        <v>610017.3600000001</v>
      </c>
      <c r="G25" s="77">
        <f>D25-E25</f>
        <v>-12796.429999999935</v>
      </c>
      <c r="H25" s="88"/>
      <c r="I25" s="88"/>
      <c r="J25" s="88"/>
      <c r="K25" s="91"/>
      <c r="L25" s="91"/>
      <c r="M25" s="92"/>
      <c r="N25" s="525"/>
      <c r="O25" s="525"/>
      <c r="P25" s="94"/>
      <c r="Q25" s="94"/>
      <c r="R25" s="526"/>
      <c r="S25" s="526"/>
      <c r="T25" s="92"/>
      <c r="U25" s="92"/>
    </row>
    <row r="26" spans="1:12" s="89" customFormat="1" ht="14.25">
      <c r="A26" s="86" t="s">
        <v>31</v>
      </c>
      <c r="B26" s="86" t="s">
        <v>119</v>
      </c>
      <c r="C26" s="95">
        <v>2.06</v>
      </c>
      <c r="D26" s="87">
        <v>221920.24</v>
      </c>
      <c r="E26" s="87">
        <v>225264.76</v>
      </c>
      <c r="F26" s="87">
        <f>F44</f>
        <v>179848.2176</v>
      </c>
      <c r="G26" s="77">
        <f t="shared" si="3"/>
        <v>-3344.5200000000186</v>
      </c>
      <c r="H26" s="88"/>
      <c r="I26" s="88"/>
      <c r="J26" s="88"/>
      <c r="K26" s="96"/>
      <c r="L26" s="96"/>
    </row>
    <row r="27" spans="1:11" ht="14.25">
      <c r="A27" s="41" t="s">
        <v>33</v>
      </c>
      <c r="B27" s="41" t="s">
        <v>168</v>
      </c>
      <c r="C27" s="97" t="s">
        <v>459</v>
      </c>
      <c r="D27" s="77"/>
      <c r="E27" s="77"/>
      <c r="F27" s="87">
        <f>D27</f>
        <v>0</v>
      </c>
      <c r="G27" s="77">
        <f t="shared" si="3"/>
        <v>0</v>
      </c>
      <c r="H27" s="98"/>
      <c r="I27" s="98"/>
      <c r="J27" s="98"/>
      <c r="K27" s="98"/>
    </row>
    <row r="28" spans="1:11" ht="14.25">
      <c r="A28" s="41" t="s">
        <v>35</v>
      </c>
      <c r="B28" s="41" t="s">
        <v>36</v>
      </c>
      <c r="C28" s="97">
        <v>0</v>
      </c>
      <c r="D28" s="77">
        <f>SUM(D29:D32)</f>
        <v>3225805.92</v>
      </c>
      <c r="E28" s="77">
        <f>SUM(E29:E32)</f>
        <v>3335932.87</v>
      </c>
      <c r="F28" s="77">
        <f>SUM(F29:F32)</f>
        <v>3225805.92</v>
      </c>
      <c r="G28" s="77">
        <f t="shared" si="3"/>
        <v>-110126.95000000019</v>
      </c>
      <c r="H28" s="98"/>
      <c r="I28" s="98"/>
      <c r="J28" s="98"/>
      <c r="K28" s="98"/>
    </row>
    <row r="29" spans="1:7" ht="15">
      <c r="A29" s="34" t="s">
        <v>37</v>
      </c>
      <c r="B29" s="34" t="s">
        <v>278</v>
      </c>
      <c r="C29" s="301" t="s">
        <v>413</v>
      </c>
      <c r="D29" s="84">
        <v>410057.99</v>
      </c>
      <c r="E29" s="84">
        <v>429568.06</v>
      </c>
      <c r="F29" s="84">
        <f>D29</f>
        <v>410057.99</v>
      </c>
      <c r="G29" s="84">
        <f t="shared" si="3"/>
        <v>-19510.070000000007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676951.3</v>
      </c>
      <c r="E30" s="84">
        <v>735780.94</v>
      </c>
      <c r="F30" s="84">
        <f>D30</f>
        <v>676951.3</v>
      </c>
      <c r="G30" s="84">
        <f t="shared" si="3"/>
        <v>-58829.6399999999</v>
      </c>
    </row>
    <row r="31" spans="1:7" ht="26.25">
      <c r="A31" s="34" t="s">
        <v>42</v>
      </c>
      <c r="B31" s="34" t="s">
        <v>143</v>
      </c>
      <c r="C31" s="49" t="s">
        <v>279</v>
      </c>
      <c r="D31" s="84">
        <v>621635.46</v>
      </c>
      <c r="E31" s="84">
        <v>643841.03</v>
      </c>
      <c r="F31" s="84">
        <f>D31</f>
        <v>621635.46</v>
      </c>
      <c r="G31" s="84">
        <f t="shared" si="3"/>
        <v>-22205.570000000065</v>
      </c>
    </row>
    <row r="32" spans="1:11" ht="26.25">
      <c r="A32" s="34" t="s">
        <v>41</v>
      </c>
      <c r="B32" s="34" t="s">
        <v>43</v>
      </c>
      <c r="C32" s="49" t="s">
        <v>279</v>
      </c>
      <c r="D32" s="84">
        <v>1517161.17</v>
      </c>
      <c r="E32" s="84">
        <v>1526742.84</v>
      </c>
      <c r="F32" s="84">
        <f>D32</f>
        <v>1517161.17</v>
      </c>
      <c r="G32" s="84">
        <f t="shared" si="3"/>
        <v>-9581.670000000158</v>
      </c>
      <c r="K32" s="96"/>
    </row>
    <row r="33" spans="1:9" s="102" customFormat="1" ht="18" customHeight="1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</row>
    <row r="34" spans="1:9" s="67" customFormat="1" ht="15.75" thickBot="1">
      <c r="A34" s="378" t="s">
        <v>383</v>
      </c>
      <c r="B34" s="379"/>
      <c r="C34" s="379"/>
      <c r="D34" s="65">
        <v>940595.02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11" s="67" customFormat="1" ht="15.75" thickBot="1">
      <c r="A36" s="63" t="s">
        <v>387</v>
      </c>
      <c r="B36" s="64"/>
      <c r="C36" s="64"/>
      <c r="D36" s="69"/>
      <c r="E36" s="70"/>
      <c r="F36" s="70"/>
      <c r="G36" s="71">
        <f>G13+E26-F26</f>
        <v>-92695.79559999998</v>
      </c>
      <c r="H36" s="62"/>
      <c r="I36" s="62"/>
      <c r="K36" s="103"/>
    </row>
    <row r="37" spans="1:11" s="67" customFormat="1" ht="15.75" thickBot="1">
      <c r="A37" s="63" t="s">
        <v>460</v>
      </c>
      <c r="B37" s="63"/>
      <c r="C37" s="64"/>
      <c r="D37" s="69"/>
      <c r="E37" s="70"/>
      <c r="F37" s="70"/>
      <c r="G37" s="71">
        <f>G14+E25-F25</f>
        <v>63484.36999999988</v>
      </c>
      <c r="H37" s="62"/>
      <c r="I37" s="62"/>
      <c r="K37" s="103"/>
    </row>
    <row r="38" spans="1:11" s="67" customFormat="1" ht="15">
      <c r="A38" s="427" t="s">
        <v>489</v>
      </c>
      <c r="B38" s="428"/>
      <c r="C38" s="104"/>
      <c r="D38" s="104"/>
      <c r="E38" s="101"/>
      <c r="F38" s="101"/>
      <c r="G38" s="101"/>
      <c r="H38" s="62"/>
      <c r="I38" s="62"/>
      <c r="K38" s="103"/>
    </row>
    <row r="39" spans="1:11" s="67" customFormat="1" ht="15">
      <c r="A39" s="429" t="s">
        <v>150</v>
      </c>
      <c r="B39" s="430"/>
      <c r="C39" s="322" t="s">
        <v>151</v>
      </c>
      <c r="D39" s="322" t="s">
        <v>152</v>
      </c>
      <c r="E39" s="323" t="s">
        <v>153</v>
      </c>
      <c r="F39" s="324" t="s">
        <v>154</v>
      </c>
      <c r="G39" s="323" t="s">
        <v>155</v>
      </c>
      <c r="H39" s="62"/>
      <c r="I39" s="62"/>
      <c r="K39" s="103"/>
    </row>
    <row r="40" spans="1:11" s="102" customFormat="1" ht="15">
      <c r="A40" s="431"/>
      <c r="B40" s="432"/>
      <c r="C40" s="302">
        <v>45.7</v>
      </c>
      <c r="D40" s="325">
        <f>E40/C40/12</f>
        <v>16.066666666666666</v>
      </c>
      <c r="E40" s="327">
        <v>8810.96</v>
      </c>
      <c r="F40" s="327">
        <v>7298.3</v>
      </c>
      <c r="G40" s="325">
        <f>E40-F40</f>
        <v>1512.659999999999</v>
      </c>
      <c r="H40" s="101"/>
      <c r="I40" s="101"/>
      <c r="J40" s="101"/>
      <c r="K40" s="101"/>
    </row>
    <row r="41" spans="1:11" ht="31.5" customHeight="1">
      <c r="A41" s="367" t="s">
        <v>189</v>
      </c>
      <c r="B41" s="403"/>
      <c r="C41" s="403"/>
      <c r="D41" s="403"/>
      <c r="E41" s="403"/>
      <c r="F41" s="403"/>
      <c r="G41" s="403"/>
      <c r="H41" s="62"/>
      <c r="I41" s="62"/>
      <c r="J41" s="62"/>
      <c r="K41" s="62"/>
    </row>
    <row r="43" spans="1:12" s="74" customFormat="1" ht="37.5" customHeight="1">
      <c r="A43" s="105" t="s">
        <v>11</v>
      </c>
      <c r="B43" s="394" t="s">
        <v>45</v>
      </c>
      <c r="C43" s="405"/>
      <c r="D43" s="105" t="s">
        <v>170</v>
      </c>
      <c r="E43" s="105" t="s">
        <v>169</v>
      </c>
      <c r="F43" s="497" t="s">
        <v>46</v>
      </c>
      <c r="G43" s="497"/>
      <c r="H43" s="106"/>
      <c r="I43" s="107"/>
      <c r="L43" s="108"/>
    </row>
    <row r="44" spans="1:12" s="115" customFormat="1" ht="15" customHeight="1">
      <c r="A44" s="109" t="s">
        <v>47</v>
      </c>
      <c r="B44" s="396" t="s">
        <v>114</v>
      </c>
      <c r="C44" s="399"/>
      <c r="D44" s="111"/>
      <c r="E44" s="111"/>
      <c r="F44" s="507">
        <f>SUM(F45:G57)</f>
        <v>179848.2176</v>
      </c>
      <c r="G44" s="508"/>
      <c r="H44" s="113"/>
      <c r="I44" s="114"/>
      <c r="L44" s="116"/>
    </row>
    <row r="45" spans="1:12" ht="27" customHeight="1">
      <c r="A45" s="34" t="s">
        <v>16</v>
      </c>
      <c r="B45" s="369" t="s">
        <v>647</v>
      </c>
      <c r="C45" s="371"/>
      <c r="D45" s="119" t="s">
        <v>248</v>
      </c>
      <c r="E45" s="119">
        <v>3</v>
      </c>
      <c r="F45" s="420">
        <v>1775.73</v>
      </c>
      <c r="G45" s="421"/>
      <c r="H45" s="40"/>
      <c r="I45" s="40"/>
      <c r="L45" s="120"/>
    </row>
    <row r="46" spans="1:12" ht="27" customHeight="1">
      <c r="A46" s="34" t="s">
        <v>18</v>
      </c>
      <c r="B46" s="369" t="s">
        <v>647</v>
      </c>
      <c r="C46" s="371"/>
      <c r="D46" s="119" t="s">
        <v>240</v>
      </c>
      <c r="E46" s="119">
        <v>0.03</v>
      </c>
      <c r="F46" s="420">
        <v>9419.96</v>
      </c>
      <c r="G46" s="421"/>
      <c r="H46" s="40"/>
      <c r="I46" s="40"/>
      <c r="L46" s="120"/>
    </row>
    <row r="47" spans="1:12" ht="31.5" customHeight="1">
      <c r="A47" s="34" t="s">
        <v>20</v>
      </c>
      <c r="B47" s="369" t="s">
        <v>689</v>
      </c>
      <c r="C47" s="371"/>
      <c r="D47" s="119" t="s">
        <v>241</v>
      </c>
      <c r="E47" s="119">
        <v>0.02</v>
      </c>
      <c r="F47" s="410">
        <v>267.29</v>
      </c>
      <c r="G47" s="410"/>
      <c r="H47" s="40"/>
      <c r="I47" s="40"/>
      <c r="L47" s="120"/>
    </row>
    <row r="48" spans="1:12" ht="15">
      <c r="A48" s="34" t="s">
        <v>22</v>
      </c>
      <c r="B48" s="369" t="s">
        <v>691</v>
      </c>
      <c r="C48" s="422"/>
      <c r="D48" s="119" t="s">
        <v>241</v>
      </c>
      <c r="E48" s="122">
        <v>0.03</v>
      </c>
      <c r="F48" s="410">
        <v>425.95</v>
      </c>
      <c r="G48" s="410"/>
      <c r="H48" s="40"/>
      <c r="I48" s="40"/>
      <c r="L48" s="120"/>
    </row>
    <row r="49" spans="1:12" ht="14.25" customHeight="1">
      <c r="A49" s="34" t="s">
        <v>24</v>
      </c>
      <c r="B49" s="369" t="s">
        <v>781</v>
      </c>
      <c r="C49" s="422"/>
      <c r="D49" s="153" t="s">
        <v>171</v>
      </c>
      <c r="E49" s="153">
        <v>3</v>
      </c>
      <c r="F49" s="522"/>
      <c r="G49" s="523"/>
      <c r="H49" s="283"/>
      <c r="I49" s="283"/>
      <c r="L49" s="120"/>
    </row>
    <row r="50" spans="1:12" ht="15">
      <c r="A50" s="34" t="s">
        <v>106</v>
      </c>
      <c r="B50" s="369" t="s">
        <v>692</v>
      </c>
      <c r="C50" s="422"/>
      <c r="D50" s="153" t="s">
        <v>265</v>
      </c>
      <c r="E50" s="153">
        <v>0.08</v>
      </c>
      <c r="F50" s="522">
        <v>140566.64</v>
      </c>
      <c r="G50" s="523"/>
      <c r="H50" s="283"/>
      <c r="I50" s="283"/>
      <c r="L50" s="120"/>
    </row>
    <row r="51" spans="1:7" ht="15">
      <c r="A51" s="34" t="s">
        <v>107</v>
      </c>
      <c r="B51" s="369" t="s">
        <v>693</v>
      </c>
      <c r="C51" s="422"/>
      <c r="D51" s="126" t="s">
        <v>248</v>
      </c>
      <c r="E51" s="126">
        <v>2</v>
      </c>
      <c r="F51" s="410">
        <v>1840</v>
      </c>
      <c r="G51" s="410"/>
    </row>
    <row r="52" spans="1:7" ht="15">
      <c r="A52" s="34" t="s">
        <v>120</v>
      </c>
      <c r="B52" s="369" t="s">
        <v>780</v>
      </c>
      <c r="C52" s="422"/>
      <c r="D52" s="126" t="s">
        <v>248</v>
      </c>
      <c r="E52" s="126">
        <v>1</v>
      </c>
      <c r="F52" s="410">
        <v>2100</v>
      </c>
      <c r="G52" s="410"/>
    </row>
    <row r="53" spans="1:7" ht="15">
      <c r="A53" s="34" t="s">
        <v>121</v>
      </c>
      <c r="B53" s="369" t="s">
        <v>739</v>
      </c>
      <c r="C53" s="422"/>
      <c r="D53" s="126" t="s">
        <v>248</v>
      </c>
      <c r="E53" s="126">
        <v>1</v>
      </c>
      <c r="F53" s="410">
        <v>2800</v>
      </c>
      <c r="G53" s="410"/>
    </row>
    <row r="54" spans="1:7" ht="15">
      <c r="A54" s="34" t="s">
        <v>122</v>
      </c>
      <c r="B54" s="369" t="s">
        <v>773</v>
      </c>
      <c r="C54" s="422"/>
      <c r="D54" s="126" t="s">
        <v>248</v>
      </c>
      <c r="E54" s="126">
        <v>1</v>
      </c>
      <c r="F54" s="410">
        <v>2800</v>
      </c>
      <c r="G54" s="410"/>
    </row>
    <row r="55" spans="1:7" ht="14.25" customHeight="1">
      <c r="A55" s="34" t="s">
        <v>144</v>
      </c>
      <c r="B55" s="369" t="s">
        <v>741</v>
      </c>
      <c r="C55" s="422"/>
      <c r="D55" s="126" t="s">
        <v>248</v>
      </c>
      <c r="E55" s="126">
        <v>2</v>
      </c>
      <c r="F55" s="410">
        <v>5600</v>
      </c>
      <c r="G55" s="410"/>
    </row>
    <row r="56" spans="1:7" ht="14.25" customHeight="1">
      <c r="A56" s="34" t="s">
        <v>146</v>
      </c>
      <c r="B56" s="369" t="s">
        <v>850</v>
      </c>
      <c r="C56" s="422"/>
      <c r="D56" s="126"/>
      <c r="E56" s="126"/>
      <c r="F56" s="410">
        <v>10000</v>
      </c>
      <c r="G56" s="410"/>
    </row>
    <row r="57" spans="1:7" ht="15">
      <c r="A57" s="34" t="s">
        <v>146</v>
      </c>
      <c r="B57" s="408" t="s">
        <v>198</v>
      </c>
      <c r="C57" s="409"/>
      <c r="D57" s="111"/>
      <c r="E57" s="111"/>
      <c r="F57" s="520">
        <f>E26*1%</f>
        <v>2252.6476000000002</v>
      </c>
      <c r="G57" s="521"/>
    </row>
    <row r="58" spans="1:7" ht="15">
      <c r="A58" s="109" t="s">
        <v>25</v>
      </c>
      <c r="B58" s="396" t="s">
        <v>778</v>
      </c>
      <c r="C58" s="399"/>
      <c r="D58" s="111"/>
      <c r="E58" s="111"/>
      <c r="F58" s="507">
        <f>SUM(F59:F68)</f>
        <v>610017.3600000001</v>
      </c>
      <c r="G58" s="524"/>
    </row>
    <row r="59" spans="1:7" ht="15">
      <c r="A59" s="34" t="s">
        <v>355</v>
      </c>
      <c r="B59" s="369" t="s">
        <v>280</v>
      </c>
      <c r="C59" s="371"/>
      <c r="D59" s="126"/>
      <c r="E59" s="126"/>
      <c r="F59" s="410">
        <f>(42300*12)</f>
        <v>507600</v>
      </c>
      <c r="G59" s="410"/>
    </row>
    <row r="60" spans="1:7" ht="15">
      <c r="A60" s="34" t="s">
        <v>356</v>
      </c>
      <c r="B60" s="369" t="s">
        <v>829</v>
      </c>
      <c r="C60" s="371"/>
      <c r="D60" s="126" t="s">
        <v>248</v>
      </c>
      <c r="E60" s="126">
        <v>1</v>
      </c>
      <c r="F60" s="410">
        <v>2200</v>
      </c>
      <c r="G60" s="410"/>
    </row>
    <row r="61" spans="1:7" ht="15">
      <c r="A61" s="34" t="s">
        <v>364</v>
      </c>
      <c r="B61" s="369" t="s">
        <v>830</v>
      </c>
      <c r="C61" s="371"/>
      <c r="D61" s="126" t="s">
        <v>248</v>
      </c>
      <c r="E61" s="126">
        <v>1</v>
      </c>
      <c r="F61" s="410">
        <v>920</v>
      </c>
      <c r="G61" s="410"/>
    </row>
    <row r="62" spans="1:7" ht="15">
      <c r="A62" s="34" t="s">
        <v>365</v>
      </c>
      <c r="B62" s="369" t="s">
        <v>831</v>
      </c>
      <c r="C62" s="371"/>
      <c r="D62" s="126" t="s">
        <v>248</v>
      </c>
      <c r="E62" s="126">
        <v>1</v>
      </c>
      <c r="F62" s="410">
        <v>620</v>
      </c>
      <c r="G62" s="410"/>
    </row>
    <row r="63" spans="1:7" ht="15">
      <c r="A63" s="34" t="s">
        <v>823</v>
      </c>
      <c r="B63" s="369" t="s">
        <v>832</v>
      </c>
      <c r="C63" s="371"/>
      <c r="D63" s="126" t="s">
        <v>248</v>
      </c>
      <c r="E63" s="126">
        <v>1</v>
      </c>
      <c r="F63" s="410">
        <v>20130</v>
      </c>
      <c r="G63" s="410"/>
    </row>
    <row r="64" spans="1:7" ht="15">
      <c r="A64" s="34" t="s">
        <v>824</v>
      </c>
      <c r="B64" s="369" t="s">
        <v>833</v>
      </c>
      <c r="C64" s="371"/>
      <c r="D64" s="126" t="s">
        <v>248</v>
      </c>
      <c r="E64" s="126">
        <v>10</v>
      </c>
      <c r="F64" s="410">
        <v>1966.8</v>
      </c>
      <c r="G64" s="410"/>
    </row>
    <row r="65" spans="1:7" ht="15">
      <c r="A65" s="34" t="s">
        <v>825</v>
      </c>
      <c r="B65" s="369" t="s">
        <v>832</v>
      </c>
      <c r="C65" s="371"/>
      <c r="D65" s="126" t="s">
        <v>248</v>
      </c>
      <c r="E65" s="126">
        <v>1</v>
      </c>
      <c r="F65" s="410">
        <v>20130</v>
      </c>
      <c r="G65" s="410"/>
    </row>
    <row r="66" spans="1:7" ht="15">
      <c r="A66" s="34" t="s">
        <v>826</v>
      </c>
      <c r="B66" s="369" t="s">
        <v>777</v>
      </c>
      <c r="C66" s="371"/>
      <c r="D66" s="126" t="s">
        <v>248</v>
      </c>
      <c r="E66" s="126">
        <v>1</v>
      </c>
      <c r="F66" s="410">
        <v>34518</v>
      </c>
      <c r="G66" s="410"/>
    </row>
    <row r="67" spans="1:7" ht="15">
      <c r="A67" s="34" t="s">
        <v>827</v>
      </c>
      <c r="B67" s="369" t="s">
        <v>779</v>
      </c>
      <c r="C67" s="371"/>
      <c r="D67" s="126" t="s">
        <v>248</v>
      </c>
      <c r="E67" s="126" t="s">
        <v>758</v>
      </c>
      <c r="F67" s="410">
        <v>5750</v>
      </c>
      <c r="G67" s="410"/>
    </row>
    <row r="68" spans="1:7" ht="15" customHeight="1">
      <c r="A68" s="34" t="s">
        <v>828</v>
      </c>
      <c r="B68" s="369" t="s">
        <v>690</v>
      </c>
      <c r="C68" s="371"/>
      <c r="D68" s="119" t="s">
        <v>248</v>
      </c>
      <c r="E68" s="122">
        <v>1</v>
      </c>
      <c r="F68" s="410">
        <v>16182.56</v>
      </c>
      <c r="G68" s="410"/>
    </row>
    <row r="69" spans="1:7" ht="15">
      <c r="A69" s="67" t="s">
        <v>55</v>
      </c>
      <c r="B69" s="59"/>
      <c r="C69" s="59"/>
      <c r="D69" s="67"/>
      <c r="E69" s="67"/>
      <c r="F69" s="67" t="s">
        <v>93</v>
      </c>
      <c r="G69" s="67"/>
    </row>
    <row r="70" spans="1:7" ht="15">
      <c r="A70" s="67"/>
      <c r="B70" s="67"/>
      <c r="C70" s="127" t="s">
        <v>49</v>
      </c>
      <c r="D70" s="67"/>
      <c r="E70" s="67"/>
      <c r="F70" s="128" t="s">
        <v>516</v>
      </c>
      <c r="G70" s="67"/>
    </row>
    <row r="71" spans="1:7" ht="15">
      <c r="A71" s="67" t="s">
        <v>50</v>
      </c>
      <c r="B71" s="67"/>
      <c r="C71" s="127"/>
      <c r="D71" s="67"/>
      <c r="E71" s="67"/>
      <c r="F71" s="67"/>
      <c r="G71" s="67"/>
    </row>
    <row r="72" spans="1:7" ht="15">
      <c r="A72" s="67"/>
      <c r="B72" s="67"/>
      <c r="C72" s="127"/>
      <c r="D72" s="67"/>
      <c r="E72" s="130"/>
      <c r="F72" s="130"/>
      <c r="G72" s="130"/>
    </row>
    <row r="73" spans="2:3" ht="15">
      <c r="B73" s="67"/>
      <c r="C73" s="129" t="s">
        <v>51</v>
      </c>
    </row>
  </sheetData>
  <sheetProtection/>
  <mergeCells count="66">
    <mergeCell ref="B66:C66"/>
    <mergeCell ref="B67:C67"/>
    <mergeCell ref="F66:G66"/>
    <mergeCell ref="F67:G67"/>
    <mergeCell ref="F52:G52"/>
    <mergeCell ref="F53:G53"/>
    <mergeCell ref="F54:G54"/>
    <mergeCell ref="B52:C52"/>
    <mergeCell ref="B53:C53"/>
    <mergeCell ref="B54:C54"/>
    <mergeCell ref="A1:K1"/>
    <mergeCell ref="A2:K2"/>
    <mergeCell ref="A3:K3"/>
    <mergeCell ref="A5:K5"/>
    <mergeCell ref="A9:K9"/>
    <mergeCell ref="A10:K10"/>
    <mergeCell ref="A11:K11"/>
    <mergeCell ref="N25:O25"/>
    <mergeCell ref="R25:S25"/>
    <mergeCell ref="A34:C34"/>
    <mergeCell ref="A41:G41"/>
    <mergeCell ref="A33:F33"/>
    <mergeCell ref="A38:B38"/>
    <mergeCell ref="A39:B40"/>
    <mergeCell ref="B43:C43"/>
    <mergeCell ref="F43:G43"/>
    <mergeCell ref="B44:C44"/>
    <mergeCell ref="F44:G44"/>
    <mergeCell ref="B45:C45"/>
    <mergeCell ref="F45:G45"/>
    <mergeCell ref="B68:C68"/>
    <mergeCell ref="F49:G49"/>
    <mergeCell ref="F50:G50"/>
    <mergeCell ref="B58:C58"/>
    <mergeCell ref="F58:G58"/>
    <mergeCell ref="B57:C57"/>
    <mergeCell ref="B50:C50"/>
    <mergeCell ref="B51:C51"/>
    <mergeCell ref="F68:G68"/>
    <mergeCell ref="B59:C59"/>
    <mergeCell ref="F55:G55"/>
    <mergeCell ref="B46:C46"/>
    <mergeCell ref="F46:G46"/>
    <mergeCell ref="B48:C48"/>
    <mergeCell ref="F48:G48"/>
    <mergeCell ref="F51:G51"/>
    <mergeCell ref="B47:C47"/>
    <mergeCell ref="F47:G47"/>
    <mergeCell ref="B49:C49"/>
    <mergeCell ref="B55:C55"/>
    <mergeCell ref="F64:G64"/>
    <mergeCell ref="F65:G65"/>
    <mergeCell ref="B60:C60"/>
    <mergeCell ref="B61:C61"/>
    <mergeCell ref="B62:C62"/>
    <mergeCell ref="B63:C63"/>
    <mergeCell ref="B64:C64"/>
    <mergeCell ref="B65:C65"/>
    <mergeCell ref="B56:C56"/>
    <mergeCell ref="F56:G56"/>
    <mergeCell ref="F60:G60"/>
    <mergeCell ref="F61:G61"/>
    <mergeCell ref="F62:G62"/>
    <mergeCell ref="F63:G63"/>
    <mergeCell ref="F57:G57"/>
    <mergeCell ref="F59:G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M51"/>
  <sheetViews>
    <sheetView zoomScalePageLayoutView="0" workbookViewId="0" topLeftCell="A28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8.28125" style="35" customWidth="1"/>
    <col min="3" max="3" width="12.7109375" style="35" customWidth="1"/>
    <col min="4" max="4" width="13.57421875" style="35" customWidth="1"/>
    <col min="5" max="5" width="15.57421875" style="35" customWidth="1"/>
    <col min="6" max="6" width="12.140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35" bestFit="1" customWidth="1" collapsed="1"/>
    <col min="14" max="16384" width="9.140625" style="35" customWidth="1"/>
  </cols>
  <sheetData>
    <row r="1" spans="1:9" ht="15">
      <c r="A1" s="388" t="s">
        <v>0</v>
      </c>
      <c r="B1" s="388"/>
      <c r="C1" s="388"/>
      <c r="D1" s="388"/>
      <c r="E1" s="388"/>
      <c r="F1" s="388"/>
      <c r="G1" s="388"/>
      <c r="H1" s="388"/>
      <c r="I1" s="388"/>
    </row>
    <row r="2" spans="1:9" ht="15">
      <c r="A2" s="388" t="s">
        <v>52</v>
      </c>
      <c r="B2" s="388"/>
      <c r="C2" s="388"/>
      <c r="D2" s="388"/>
      <c r="E2" s="388"/>
      <c r="F2" s="388"/>
      <c r="G2" s="388"/>
      <c r="H2" s="388"/>
      <c r="I2" s="388"/>
    </row>
    <row r="3" spans="1:11" ht="1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9" ht="12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2" customHeight="1">
      <c r="A5" s="389" t="s">
        <v>1</v>
      </c>
      <c r="B5" s="388"/>
      <c r="C5" s="388"/>
      <c r="D5" s="388"/>
      <c r="E5" s="388"/>
      <c r="F5" s="388"/>
      <c r="G5" s="388"/>
      <c r="H5" s="388"/>
      <c r="I5" s="388"/>
    </row>
    <row r="7" spans="1:5" s="67" customFormat="1" ht="16.5" customHeight="1">
      <c r="A7" s="67" t="s">
        <v>2</v>
      </c>
      <c r="E7" s="128" t="s">
        <v>62</v>
      </c>
    </row>
    <row r="8" spans="1:10" s="67" customFormat="1" ht="15">
      <c r="A8" s="67" t="s">
        <v>3</v>
      </c>
      <c r="E8" s="299" t="s">
        <v>63</v>
      </c>
      <c r="I8" s="204">
        <v>273.5</v>
      </c>
      <c r="J8" s="204">
        <v>1005.3</v>
      </c>
    </row>
    <row r="9" s="67" customFormat="1" ht="15"/>
    <row r="10" spans="1:9" s="67" customFormat="1" ht="15">
      <c r="A10" s="368" t="s">
        <v>8</v>
      </c>
      <c r="B10" s="368"/>
      <c r="C10" s="368"/>
      <c r="D10" s="368"/>
      <c r="E10" s="368"/>
      <c r="F10" s="368"/>
      <c r="G10" s="368"/>
      <c r="H10" s="368"/>
      <c r="I10" s="368"/>
    </row>
    <row r="11" spans="1:9" s="67" customFormat="1" ht="15">
      <c r="A11" s="368" t="s">
        <v>9</v>
      </c>
      <c r="B11" s="368"/>
      <c r="C11" s="368"/>
      <c r="D11" s="368"/>
      <c r="E11" s="368"/>
      <c r="F11" s="368"/>
      <c r="G11" s="368"/>
      <c r="H11" s="368"/>
      <c r="I11" s="368"/>
    </row>
    <row r="12" spans="1:9" s="67" customFormat="1" ht="15">
      <c r="A12" s="368" t="s">
        <v>10</v>
      </c>
      <c r="B12" s="368"/>
      <c r="C12" s="368"/>
      <c r="D12" s="368"/>
      <c r="E12" s="368"/>
      <c r="F12" s="368"/>
      <c r="G12" s="368"/>
      <c r="H12" s="368"/>
      <c r="I12" s="36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390</v>
      </c>
      <c r="B14" s="64"/>
      <c r="C14" s="64"/>
      <c r="D14" s="69"/>
      <c r="E14" s="70"/>
      <c r="F14" s="70"/>
      <c r="G14" s="146">
        <f>'[1]Социалистическая 6 к.1'!$G$38</f>
        <v>23604.83</v>
      </c>
      <c r="H14" s="62"/>
      <c r="I14" s="62"/>
    </row>
    <row r="15" spans="1:9" s="67" customFormat="1" ht="15.75" thickBot="1">
      <c r="A15" s="63" t="s">
        <v>391</v>
      </c>
      <c r="B15" s="64"/>
      <c r="C15" s="64"/>
      <c r="D15" s="69"/>
      <c r="E15" s="70"/>
      <c r="F15" s="70"/>
      <c r="G15" s="146">
        <f>'[1]Социалистическая 6 к.1'!$G$39</f>
        <v>-66500.25659999998</v>
      </c>
      <c r="H15" s="62"/>
      <c r="I15" s="62"/>
    </row>
    <row r="16" s="67" customFormat="1" ht="9" customHeight="1"/>
    <row r="17" spans="1:7" s="74" customFormat="1" ht="38.25">
      <c r="A17" s="72" t="s">
        <v>11</v>
      </c>
      <c r="B17" s="72" t="s">
        <v>12</v>
      </c>
      <c r="C17" s="72" t="s">
        <v>94</v>
      </c>
      <c r="D17" s="72" t="s">
        <v>374</v>
      </c>
      <c r="E17" s="72" t="s">
        <v>375</v>
      </c>
      <c r="F17" s="73" t="s">
        <v>376</v>
      </c>
      <c r="G17" s="72" t="s">
        <v>377</v>
      </c>
    </row>
    <row r="18" spans="1:8" s="169" customFormat="1" ht="14.25">
      <c r="A18" s="75" t="s">
        <v>14</v>
      </c>
      <c r="B18" s="41" t="s">
        <v>15</v>
      </c>
      <c r="C18" s="137">
        <f>C19+C20+C21+C22</f>
        <v>10.34</v>
      </c>
      <c r="D18" s="76">
        <v>151310.88</v>
      </c>
      <c r="E18" s="76">
        <v>122607.88</v>
      </c>
      <c r="F18" s="76">
        <f>D18</f>
        <v>151310.88</v>
      </c>
      <c r="G18" s="77">
        <f>D18-E18</f>
        <v>28703</v>
      </c>
      <c r="H18" s="138">
        <f>C18</f>
        <v>10.34</v>
      </c>
    </row>
    <row r="19" spans="1:9" s="67" customFormat="1" ht="14.25" customHeight="1">
      <c r="A19" s="81" t="s">
        <v>16</v>
      </c>
      <c r="B19" s="34" t="s">
        <v>17</v>
      </c>
      <c r="C19" s="99">
        <v>3.46</v>
      </c>
      <c r="D19" s="83">
        <f>D18*I19</f>
        <v>50632.07396518376</v>
      </c>
      <c r="E19" s="83">
        <f>E18*I19</f>
        <v>41027.3950483559</v>
      </c>
      <c r="F19" s="83">
        <f>D19</f>
        <v>50632.07396518376</v>
      </c>
      <c r="G19" s="84">
        <f>D19-E19</f>
        <v>9604.678916827856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24730.695087040618</v>
      </c>
      <c r="E20" s="83">
        <f>E18*I20</f>
        <v>20039.39237911025</v>
      </c>
      <c r="F20" s="83">
        <f>D20</f>
        <v>24730.695087040618</v>
      </c>
      <c r="G20" s="84">
        <f>D20-E20</f>
        <v>4691.302707930368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31462.12688588008</v>
      </c>
      <c r="E21" s="83">
        <f>E18*I21</f>
        <v>25493.90154738878</v>
      </c>
      <c r="F21" s="83">
        <f>D21</f>
        <v>31462.12688588008</v>
      </c>
      <c r="G21" s="84">
        <f>D21-E21</f>
        <v>5968.225338491298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44485.98406189556</v>
      </c>
      <c r="E22" s="83">
        <f>E18*I22</f>
        <v>36047.19102514507</v>
      </c>
      <c r="F22" s="83">
        <f>D22</f>
        <v>44485.98406189556</v>
      </c>
      <c r="G22" s="84">
        <f>D22-E22</f>
        <v>8438.793036750489</v>
      </c>
      <c r="H22" s="78">
        <f>C22</f>
        <v>3.04</v>
      </c>
      <c r="I22" s="67">
        <f>H22/H18</f>
        <v>0.2940038684719536</v>
      </c>
    </row>
    <row r="23" spans="1:7" s="39" customFormat="1" ht="14.25">
      <c r="A23" s="41" t="s">
        <v>25</v>
      </c>
      <c r="B23" s="142" t="s">
        <v>26</v>
      </c>
      <c r="C23" s="143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4.25">
      <c r="A24" s="41" t="s">
        <v>27</v>
      </c>
      <c r="B24" s="142" t="s">
        <v>28</v>
      </c>
      <c r="C24" s="143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2" t="s">
        <v>168</v>
      </c>
      <c r="C25" s="143" t="s">
        <v>394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2" t="s">
        <v>119</v>
      </c>
      <c r="C26" s="143">
        <v>2.06</v>
      </c>
      <c r="D26" s="77">
        <v>24569.76</v>
      </c>
      <c r="E26" s="77">
        <v>24441.84</v>
      </c>
      <c r="F26" s="76">
        <f>F44</f>
        <v>51441.998400000004</v>
      </c>
      <c r="G26" s="77">
        <f t="shared" si="1"/>
        <v>127.91999999999825</v>
      </c>
      <c r="M26" s="184"/>
    </row>
    <row r="27" spans="1:7" s="39" customFormat="1" ht="14.25">
      <c r="A27" s="41" t="s">
        <v>33</v>
      </c>
      <c r="B27" s="136" t="s">
        <v>34</v>
      </c>
      <c r="C27" s="137">
        <v>0</v>
      </c>
      <c r="D27" s="77">
        <v>0</v>
      </c>
      <c r="E27" s="77">
        <v>0</v>
      </c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6" t="s">
        <v>36</v>
      </c>
      <c r="C28" s="137"/>
      <c r="D28" s="77">
        <f>SUM(D29:D32)</f>
        <v>505284.45</v>
      </c>
      <c r="E28" s="77">
        <f>SUM(E29:E32)</f>
        <v>502509.49</v>
      </c>
      <c r="F28" s="76">
        <f t="shared" si="0"/>
        <v>505284.45</v>
      </c>
      <c r="G28" s="77">
        <f t="shared" si="1"/>
        <v>2774.960000000021</v>
      </c>
    </row>
    <row r="29" spans="1:7" ht="15">
      <c r="A29" s="34" t="s">
        <v>37</v>
      </c>
      <c r="B29" s="34" t="s">
        <v>172</v>
      </c>
      <c r="C29" s="293" t="s">
        <v>379</v>
      </c>
      <c r="D29" s="84">
        <v>1235.39</v>
      </c>
      <c r="E29" s="84">
        <v>1216.28</v>
      </c>
      <c r="F29" s="83">
        <f>D29</f>
        <v>1235.39</v>
      </c>
      <c r="G29" s="84">
        <f t="shared" si="1"/>
        <v>19.110000000000127</v>
      </c>
    </row>
    <row r="30" spans="1:7" ht="15">
      <c r="A30" s="34" t="s">
        <v>39</v>
      </c>
      <c r="B30" s="34" t="s">
        <v>142</v>
      </c>
      <c r="C30" s="293" t="s">
        <v>382</v>
      </c>
      <c r="D30" s="84">
        <v>78168.35</v>
      </c>
      <c r="E30" s="84">
        <v>79384.73</v>
      </c>
      <c r="F30" s="83">
        <f t="shared" si="0"/>
        <v>78168.35</v>
      </c>
      <c r="G30" s="84">
        <f t="shared" si="1"/>
        <v>-1216.37999999999</v>
      </c>
    </row>
    <row r="31" spans="1:7" ht="15">
      <c r="A31" s="34" t="s">
        <v>42</v>
      </c>
      <c r="B31" s="34" t="s">
        <v>143</v>
      </c>
      <c r="C31" s="294" t="s">
        <v>381</v>
      </c>
      <c r="D31" s="84">
        <v>125872.45</v>
      </c>
      <c r="E31" s="84">
        <v>125925.79</v>
      </c>
      <c r="F31" s="83">
        <f t="shared" si="0"/>
        <v>125872.45</v>
      </c>
      <c r="G31" s="84">
        <f t="shared" si="1"/>
        <v>-53.33999999999651</v>
      </c>
    </row>
    <row r="32" spans="1:7" ht="15">
      <c r="A32" s="34" t="s">
        <v>41</v>
      </c>
      <c r="B32" s="34" t="s">
        <v>43</v>
      </c>
      <c r="C32" s="293" t="s">
        <v>380</v>
      </c>
      <c r="D32" s="84">
        <v>300008.26</v>
      </c>
      <c r="E32" s="84">
        <v>295982.69</v>
      </c>
      <c r="F32" s="83">
        <f t="shared" si="0"/>
        <v>300008.26</v>
      </c>
      <c r="G32" s="84">
        <f t="shared" si="1"/>
        <v>4025.570000000007</v>
      </c>
    </row>
    <row r="33" spans="1:7" ht="15">
      <c r="A33" s="300" t="s">
        <v>345</v>
      </c>
      <c r="B33" s="344" t="s">
        <v>346</v>
      </c>
      <c r="C33" s="293"/>
      <c r="D33" s="295">
        <f>3000+2400+1200+3600+1992</f>
        <v>12192</v>
      </c>
      <c r="E33" s="295">
        <f>1879.5+3000+2394+1200+1494</f>
        <v>9967.5</v>
      </c>
      <c r="F33" s="326">
        <v>0</v>
      </c>
      <c r="G33" s="295">
        <f>E33-D33</f>
        <v>-2224.5</v>
      </c>
    </row>
    <row r="34" spans="1:10" s="102" customFormat="1" ht="23.25" customHeight="1" thickBot="1">
      <c r="A34" s="363" t="s">
        <v>378</v>
      </c>
      <c r="B34" s="364"/>
      <c r="C34" s="364"/>
      <c r="D34" s="365"/>
      <c r="E34" s="365"/>
      <c r="F34" s="365"/>
      <c r="G34" s="101"/>
      <c r="H34" s="101"/>
      <c r="I34" s="101"/>
      <c r="J34" s="101"/>
    </row>
    <row r="35" spans="1:9" s="67" customFormat="1" ht="15.75" thickBot="1">
      <c r="A35" s="378" t="s">
        <v>284</v>
      </c>
      <c r="B35" s="379"/>
      <c r="C35" s="379"/>
      <c r="D35" s="65">
        <v>97877.19</v>
      </c>
      <c r="E35" s="66"/>
      <c r="F35" s="66"/>
      <c r="G35" s="66"/>
      <c r="H35" s="62"/>
      <c r="I35" s="62"/>
    </row>
    <row r="36" spans="1:9" s="67" customFormat="1" ht="6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312</v>
      </c>
      <c r="B37" s="64"/>
      <c r="C37" s="64"/>
      <c r="D37" s="69"/>
      <c r="E37" s="70"/>
      <c r="F37" s="70"/>
      <c r="G37" s="146">
        <f>G14+E27-F27</f>
        <v>23604.83</v>
      </c>
      <c r="H37" s="62"/>
      <c r="I37" s="62"/>
    </row>
    <row r="38" spans="1:9" s="67" customFormat="1" ht="15.75" thickBot="1">
      <c r="A38" s="63" t="s">
        <v>313</v>
      </c>
      <c r="B38" s="64"/>
      <c r="C38" s="64"/>
      <c r="D38" s="69"/>
      <c r="E38" s="70"/>
      <c r="F38" s="70"/>
      <c r="G38" s="146">
        <f>G15+E26-F26</f>
        <v>-93500.41499999998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2:5" ht="7.5" customHeight="1">
      <c r="B40" s="156"/>
      <c r="C40" s="156"/>
      <c r="D40" s="156"/>
      <c r="E40" s="156"/>
    </row>
    <row r="41" spans="1:9" ht="24" customHeight="1">
      <c r="A41" s="367" t="s">
        <v>44</v>
      </c>
      <c r="B41" s="367"/>
      <c r="C41" s="367"/>
      <c r="D41" s="367"/>
      <c r="E41" s="367"/>
      <c r="F41" s="367"/>
      <c r="G41" s="367"/>
      <c r="H41" s="367"/>
      <c r="I41" s="367"/>
    </row>
    <row r="43" spans="1:7" s="173" customFormat="1" ht="28.5" customHeight="1">
      <c r="A43" s="105" t="s">
        <v>11</v>
      </c>
      <c r="B43" s="394" t="s">
        <v>45</v>
      </c>
      <c r="C43" s="405"/>
      <c r="D43" s="105" t="s">
        <v>170</v>
      </c>
      <c r="E43" s="105" t="s">
        <v>169</v>
      </c>
      <c r="F43" s="394" t="s">
        <v>46</v>
      </c>
      <c r="G43" s="404"/>
    </row>
    <row r="44" spans="1:7" s="115" customFormat="1" ht="13.5" customHeight="1">
      <c r="A44" s="109" t="s">
        <v>47</v>
      </c>
      <c r="B44" s="396" t="s">
        <v>114</v>
      </c>
      <c r="C44" s="399"/>
      <c r="D44" s="174"/>
      <c r="E44" s="174"/>
      <c r="F44" s="411">
        <f>SUM(F45:G46)</f>
        <v>51441.998400000004</v>
      </c>
      <c r="G44" s="404"/>
    </row>
    <row r="45" spans="1:7" ht="13.5" customHeight="1">
      <c r="A45" s="34" t="s">
        <v>16</v>
      </c>
      <c r="B45" s="369" t="s">
        <v>175</v>
      </c>
      <c r="C45" s="415"/>
      <c r="D45" s="153"/>
      <c r="E45" s="154" t="s">
        <v>249</v>
      </c>
      <c r="F45" s="398">
        <v>51197.58</v>
      </c>
      <c r="G45" s="398"/>
    </row>
    <row r="46" spans="1:7" ht="13.5" customHeight="1">
      <c r="A46" s="34" t="s">
        <v>18</v>
      </c>
      <c r="B46" s="408" t="s">
        <v>198</v>
      </c>
      <c r="C46" s="409"/>
      <c r="D46" s="193"/>
      <c r="E46" s="193"/>
      <c r="F46" s="410">
        <f>E26*1%</f>
        <v>244.41840000000002</v>
      </c>
      <c r="G46" s="410"/>
    </row>
    <row r="47" s="67" customFormat="1" ht="15"/>
    <row r="48" spans="1:6" s="67" customFormat="1" ht="15">
      <c r="A48" s="67" t="s">
        <v>55</v>
      </c>
      <c r="C48" s="67" t="s">
        <v>49</v>
      </c>
      <c r="F48" s="67" t="s">
        <v>93</v>
      </c>
    </row>
    <row r="49" s="67" customFormat="1" ht="13.5" customHeight="1">
      <c r="F49" s="128" t="s">
        <v>516</v>
      </c>
    </row>
    <row r="50" s="67" customFormat="1" ht="15">
      <c r="A50" s="67" t="s">
        <v>50</v>
      </c>
    </row>
    <row r="51" spans="3:7" s="67" customFormat="1" ht="15">
      <c r="C51" s="130" t="s">
        <v>51</v>
      </c>
      <c r="E51" s="130"/>
      <c r="F51" s="130"/>
      <c r="G51" s="130"/>
    </row>
    <row r="52" s="67" customFormat="1" ht="15"/>
  </sheetData>
  <sheetProtection/>
  <mergeCells count="18">
    <mergeCell ref="F44:G44"/>
    <mergeCell ref="F45:G45"/>
    <mergeCell ref="A41:I41"/>
    <mergeCell ref="F46:G46"/>
    <mergeCell ref="F43:G43"/>
    <mergeCell ref="B43:C43"/>
    <mergeCell ref="B44:C44"/>
    <mergeCell ref="B46:C46"/>
    <mergeCell ref="A11:I11"/>
    <mergeCell ref="B45:C45"/>
    <mergeCell ref="A1:I1"/>
    <mergeCell ref="A2:I2"/>
    <mergeCell ref="A5:I5"/>
    <mergeCell ref="A10:I10"/>
    <mergeCell ref="A3:K3"/>
    <mergeCell ref="A12:I12"/>
    <mergeCell ref="A35:C35"/>
    <mergeCell ref="A34:F34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7030A0"/>
  </sheetPr>
  <dimension ref="A1:U66"/>
  <sheetViews>
    <sheetView zoomScale="98" zoomScaleNormal="98" zoomScalePageLayoutView="0" workbookViewId="0" topLeftCell="A52">
      <selection activeCell="F55" sqref="F55:G55"/>
    </sheetView>
  </sheetViews>
  <sheetFormatPr defaultColWidth="9.140625" defaultRowHeight="15" outlineLevelCol="1"/>
  <cols>
    <col min="1" max="1" width="6.00390625" style="57" customWidth="1"/>
    <col min="2" max="2" width="47.140625" style="57" customWidth="1"/>
    <col min="3" max="3" width="10.7109375" style="57" customWidth="1"/>
    <col min="4" max="4" width="14.8515625" style="57" customWidth="1"/>
    <col min="5" max="5" width="13.28125" style="57" customWidth="1"/>
    <col min="6" max="6" width="13.7109375" style="57" customWidth="1"/>
    <col min="7" max="7" width="13.57421875" style="57" customWidth="1"/>
    <col min="8" max="9" width="11.57421875" style="57" hidden="1" customWidth="1" outlineLevel="1"/>
    <col min="10" max="10" width="10.140625" style="57" hidden="1" customWidth="1" outlineLevel="1"/>
    <col min="11" max="11" width="11.8515625" style="57" customWidth="1" collapsed="1"/>
    <col min="12" max="12" width="10.710937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196</v>
      </c>
      <c r="H7" s="60"/>
    </row>
    <row r="8" spans="1:8" s="59" customFormat="1" ht="12.75">
      <c r="A8" s="59" t="s">
        <v>3</v>
      </c>
      <c r="F8" s="310" t="s">
        <v>461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71">
        <f>'[2]Грабцевское шоссе 132 корп.1'!$G$38</f>
        <v>337286.825490671</v>
      </c>
      <c r="H13" s="62"/>
      <c r="I13" s="62"/>
    </row>
    <row r="14" spans="1:9" s="67" customFormat="1" ht="15.75" thickBot="1">
      <c r="A14" s="63" t="s">
        <v>834</v>
      </c>
      <c r="B14" s="64"/>
      <c r="C14" s="64"/>
      <c r="D14" s="69"/>
      <c r="E14" s="70"/>
      <c r="F14" s="70"/>
      <c r="G14" s="71">
        <f>'[2]Грабцевское шоссе 132 корп.1'!$G$39</f>
        <v>371798.0634093289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94</v>
      </c>
      <c r="D16" s="72" t="s">
        <v>374</v>
      </c>
      <c r="E16" s="72" t="s">
        <v>375</v>
      </c>
      <c r="F16" s="73" t="s">
        <v>376</v>
      </c>
      <c r="G16" s="72" t="s">
        <v>377</v>
      </c>
    </row>
    <row r="17" spans="1:14" s="59" customFormat="1" ht="28.5">
      <c r="A17" s="75" t="s">
        <v>14</v>
      </c>
      <c r="B17" s="41" t="s">
        <v>15</v>
      </c>
      <c r="C17" s="46">
        <f>C18+C19+C20+C21+C22</f>
        <v>12.46</v>
      </c>
      <c r="D17" s="76">
        <v>1357853.41</v>
      </c>
      <c r="E17" s="76">
        <v>1338302.7</v>
      </c>
      <c r="F17" s="76">
        <f aca="true" t="shared" si="0" ref="F17:F24">D17</f>
        <v>1357853.41</v>
      </c>
      <c r="G17" s="77">
        <f aca="true" t="shared" si="1" ref="G17:G22">D17-E17</f>
        <v>19550.709999999963</v>
      </c>
      <c r="H17" s="78">
        <f aca="true" t="shared" si="2" ref="H17:H22">C17</f>
        <v>12.46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377060.41722311394</v>
      </c>
      <c r="E18" s="83">
        <f>E17*I18</f>
        <v>371631.4078651685</v>
      </c>
      <c r="F18" s="83">
        <f t="shared" si="0"/>
        <v>377060.41722311394</v>
      </c>
      <c r="G18" s="84">
        <f t="shared" si="1"/>
        <v>5429.0093579454115</v>
      </c>
      <c r="H18" s="78">
        <f t="shared" si="2"/>
        <v>3.46</v>
      </c>
      <c r="I18" s="59">
        <f>H18/H17</f>
        <v>0.27768860353130015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184171.1286436597</v>
      </c>
      <c r="E19" s="83">
        <f>E17*I19</f>
        <v>181519.38707865166</v>
      </c>
      <c r="F19" s="83">
        <f t="shared" si="0"/>
        <v>184171.1286436597</v>
      </c>
      <c r="G19" s="84">
        <f t="shared" si="1"/>
        <v>2651.7415650080366</v>
      </c>
      <c r="H19" s="78">
        <f t="shared" si="2"/>
        <v>1.69</v>
      </c>
      <c r="I19" s="59">
        <f>H19/H17</f>
        <v>0.13563402889245585</v>
      </c>
    </row>
    <row r="20" spans="1:9" s="59" customFormat="1" ht="15">
      <c r="A20" s="81" t="s">
        <v>20</v>
      </c>
      <c r="B20" s="34" t="s">
        <v>21</v>
      </c>
      <c r="C20" s="82">
        <v>2.15</v>
      </c>
      <c r="D20" s="83">
        <f>D17*I20</f>
        <v>234300.5482744783</v>
      </c>
      <c r="E20" s="83">
        <f>E17*I20</f>
        <v>230927.0308988764</v>
      </c>
      <c r="F20" s="83">
        <f t="shared" si="0"/>
        <v>234300.5482744783</v>
      </c>
      <c r="G20" s="84">
        <f t="shared" si="1"/>
        <v>3373.517375601892</v>
      </c>
      <c r="H20" s="78">
        <f t="shared" si="2"/>
        <v>2.15</v>
      </c>
      <c r="I20" s="59">
        <f>H20/H17</f>
        <v>0.1725521669341894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331290.07756019256</v>
      </c>
      <c r="E21" s="83">
        <f>E17*I21</f>
        <v>326520.08089887636</v>
      </c>
      <c r="F21" s="83">
        <f t="shared" si="0"/>
        <v>331290.07756019256</v>
      </c>
      <c r="G21" s="84">
        <f t="shared" si="1"/>
        <v>4769.996661316196</v>
      </c>
      <c r="H21" s="78">
        <f t="shared" si="2"/>
        <v>3.04</v>
      </c>
      <c r="I21" s="59">
        <f>H21/H17</f>
        <v>0.24398073836276082</v>
      </c>
    </row>
    <row r="22" spans="1:9" s="59" customFormat="1" ht="15">
      <c r="A22" s="81" t="s">
        <v>24</v>
      </c>
      <c r="B22" s="34" t="s">
        <v>190</v>
      </c>
      <c r="C22" s="85">
        <v>2.12</v>
      </c>
      <c r="D22" s="83">
        <f>D17*I22</f>
        <v>231031.23829855534</v>
      </c>
      <c r="E22" s="83">
        <f>E17*I22</f>
        <v>227704.79325842694</v>
      </c>
      <c r="F22" s="83">
        <f t="shared" si="0"/>
        <v>231031.23829855534</v>
      </c>
      <c r="G22" s="84">
        <f t="shared" si="1"/>
        <v>3326.4450401283975</v>
      </c>
      <c r="H22" s="78">
        <f t="shared" si="2"/>
        <v>2.12</v>
      </c>
      <c r="I22" s="59">
        <f>H22/H17</f>
        <v>0.17014446227929372</v>
      </c>
    </row>
    <row r="23" spans="1:11" s="89" customFormat="1" ht="14.25">
      <c r="A23" s="86" t="s">
        <v>25</v>
      </c>
      <c r="B23" s="86" t="s">
        <v>26</v>
      </c>
      <c r="C23" s="46">
        <v>3.86</v>
      </c>
      <c r="D23" s="87">
        <v>419252.76</v>
      </c>
      <c r="E23" s="87">
        <v>413528.05</v>
      </c>
      <c r="F23" s="87">
        <f t="shared" si="0"/>
        <v>419252.76</v>
      </c>
      <c r="G23" s="77">
        <f aca="true" t="shared" si="3" ref="G23:G34">D23-E23</f>
        <v>5724.710000000021</v>
      </c>
      <c r="H23" s="88"/>
      <c r="I23" s="88"/>
      <c r="J23" s="88"/>
      <c r="K23" s="88"/>
    </row>
    <row r="24" spans="1:11" s="89" customFormat="1" ht="14.25">
      <c r="A24" s="86" t="s">
        <v>27</v>
      </c>
      <c r="B24" s="86" t="s">
        <v>28</v>
      </c>
      <c r="C24" s="46">
        <v>0</v>
      </c>
      <c r="D24" s="87">
        <v>0</v>
      </c>
      <c r="E24" s="87">
        <v>0</v>
      </c>
      <c r="F24" s="87">
        <f t="shared" si="0"/>
        <v>0</v>
      </c>
      <c r="G24" s="77">
        <f t="shared" si="3"/>
        <v>0</v>
      </c>
      <c r="H24" s="88"/>
      <c r="I24" s="88"/>
      <c r="J24" s="88"/>
      <c r="K24" s="88"/>
    </row>
    <row r="25" spans="1:21" s="89" customFormat="1" ht="28.5">
      <c r="A25" s="86" t="s">
        <v>29</v>
      </c>
      <c r="B25" s="86" t="s">
        <v>351</v>
      </c>
      <c r="C25" s="46">
        <v>7.12</v>
      </c>
      <c r="D25" s="90">
        <v>782801.4</v>
      </c>
      <c r="E25" s="90">
        <v>774296.76</v>
      </c>
      <c r="F25" s="87">
        <f>F57</f>
        <v>527850.5</v>
      </c>
      <c r="G25" s="77">
        <f t="shared" si="3"/>
        <v>8504.640000000014</v>
      </c>
      <c r="H25" s="88"/>
      <c r="I25" s="57">
        <f>C25*9162*12</f>
        <v>782801.28</v>
      </c>
      <c r="J25" s="88"/>
      <c r="K25" s="91"/>
      <c r="L25" s="57"/>
      <c r="M25" s="92"/>
      <c r="N25" s="525"/>
      <c r="O25" s="525"/>
      <c r="P25" s="94"/>
      <c r="Q25" s="94"/>
      <c r="R25" s="526"/>
      <c r="S25" s="526"/>
      <c r="T25" s="92"/>
      <c r="U25" s="92"/>
    </row>
    <row r="26" spans="1:12" s="89" customFormat="1" ht="14.25">
      <c r="A26" s="86" t="s">
        <v>31</v>
      </c>
      <c r="B26" s="86" t="s">
        <v>119</v>
      </c>
      <c r="C26" s="95">
        <v>2.06</v>
      </c>
      <c r="D26" s="87">
        <v>424019.12</v>
      </c>
      <c r="E26" s="87">
        <v>412291.97</v>
      </c>
      <c r="F26" s="87">
        <f>F44</f>
        <v>1068822.3797</v>
      </c>
      <c r="G26" s="77">
        <f t="shared" si="3"/>
        <v>11727.150000000023</v>
      </c>
      <c r="H26" s="88"/>
      <c r="I26" s="96"/>
      <c r="J26" s="88"/>
      <c r="K26" s="96"/>
      <c r="L26" s="96"/>
    </row>
    <row r="27" spans="1:11" ht="14.25">
      <c r="A27" s="41" t="s">
        <v>33</v>
      </c>
      <c r="B27" s="41" t="s">
        <v>168</v>
      </c>
      <c r="C27" s="97" t="s">
        <v>459</v>
      </c>
      <c r="D27" s="77">
        <v>0</v>
      </c>
      <c r="E27" s="77">
        <v>0</v>
      </c>
      <c r="F27" s="87">
        <f>D27</f>
        <v>0</v>
      </c>
      <c r="G27" s="77">
        <f t="shared" si="3"/>
        <v>0</v>
      </c>
      <c r="H27" s="98"/>
      <c r="J27" s="98"/>
      <c r="K27" s="98"/>
    </row>
    <row r="28" spans="1:11" ht="14.25">
      <c r="A28" s="41" t="s">
        <v>35</v>
      </c>
      <c r="B28" s="41" t="s">
        <v>319</v>
      </c>
      <c r="C28" s="97">
        <v>0</v>
      </c>
      <c r="D28" s="77">
        <v>0</v>
      </c>
      <c r="E28" s="77">
        <v>0</v>
      </c>
      <c r="F28" s="76">
        <f>D28</f>
        <v>0</v>
      </c>
      <c r="G28" s="77">
        <f t="shared" si="3"/>
        <v>0</v>
      </c>
      <c r="H28" s="98"/>
      <c r="J28" s="98"/>
      <c r="K28" s="98"/>
    </row>
    <row r="29" spans="1:11" ht="14.25">
      <c r="A29" s="41" t="s">
        <v>211</v>
      </c>
      <c r="B29" s="41" t="s">
        <v>36</v>
      </c>
      <c r="C29" s="97">
        <v>0</v>
      </c>
      <c r="D29" s="77">
        <f>SUM(D30:D33)</f>
        <v>2956590.62</v>
      </c>
      <c r="E29" s="77">
        <f>SUM(E30:E33)</f>
        <v>2906710.2700000005</v>
      </c>
      <c r="F29" s="77">
        <f>SUM(F30:F33)</f>
        <v>2956590.62</v>
      </c>
      <c r="G29" s="77">
        <f t="shared" si="3"/>
        <v>49880.34999999963</v>
      </c>
      <c r="H29" s="98"/>
      <c r="I29" s="98"/>
      <c r="J29" s="98"/>
      <c r="K29" s="98"/>
    </row>
    <row r="30" spans="1:7" ht="15">
      <c r="A30" s="34" t="s">
        <v>213</v>
      </c>
      <c r="B30" s="34" t="s">
        <v>278</v>
      </c>
      <c r="C30" s="301" t="s">
        <v>379</v>
      </c>
      <c r="D30" s="84">
        <v>232287.55</v>
      </c>
      <c r="E30" s="84">
        <v>229540.53</v>
      </c>
      <c r="F30" s="84">
        <f>D30</f>
        <v>232287.55</v>
      </c>
      <c r="G30" s="84">
        <f t="shared" si="3"/>
        <v>2747.0199999999895</v>
      </c>
    </row>
    <row r="31" spans="1:7" ht="15">
      <c r="A31" s="34" t="s">
        <v>214</v>
      </c>
      <c r="B31" s="34" t="s">
        <v>142</v>
      </c>
      <c r="C31" s="293" t="s">
        <v>382</v>
      </c>
      <c r="D31" s="84">
        <v>541625.83</v>
      </c>
      <c r="E31" s="84">
        <v>560849.68</v>
      </c>
      <c r="F31" s="84">
        <f>D31</f>
        <v>541625.83</v>
      </c>
      <c r="G31" s="84">
        <f t="shared" si="3"/>
        <v>-19223.850000000093</v>
      </c>
    </row>
    <row r="32" spans="1:7" ht="26.25">
      <c r="A32" s="34" t="s">
        <v>215</v>
      </c>
      <c r="B32" s="34" t="s">
        <v>143</v>
      </c>
      <c r="C32" s="49" t="s">
        <v>279</v>
      </c>
      <c r="D32" s="84">
        <v>780262.46</v>
      </c>
      <c r="E32" s="84">
        <v>743815.74</v>
      </c>
      <c r="F32" s="84">
        <f>D32</f>
        <v>780262.46</v>
      </c>
      <c r="G32" s="84">
        <f t="shared" si="3"/>
        <v>36446.71999999997</v>
      </c>
    </row>
    <row r="33" spans="1:11" ht="26.25">
      <c r="A33" s="34" t="s">
        <v>216</v>
      </c>
      <c r="B33" s="34" t="s">
        <v>43</v>
      </c>
      <c r="C33" s="49" t="s">
        <v>279</v>
      </c>
      <c r="D33" s="84">
        <v>1402414.78</v>
      </c>
      <c r="E33" s="84">
        <v>1372504.32</v>
      </c>
      <c r="F33" s="84">
        <f>D33</f>
        <v>1402414.78</v>
      </c>
      <c r="G33" s="84">
        <f t="shared" si="3"/>
        <v>29910.459999999963</v>
      </c>
      <c r="K33" s="96"/>
    </row>
    <row r="34" spans="1:9" s="102" customFormat="1" ht="33" customHeight="1">
      <c r="A34" s="52" t="s">
        <v>348</v>
      </c>
      <c r="B34" s="344" t="s">
        <v>501</v>
      </c>
      <c r="C34" s="354"/>
      <c r="D34" s="350">
        <f>9600+3600+3600+3000</f>
        <v>19800</v>
      </c>
      <c r="E34" s="350">
        <f>9570+2700+3600+3000</f>
        <v>18870</v>
      </c>
      <c r="F34" s="350">
        <v>0</v>
      </c>
      <c r="G34" s="295">
        <f t="shared" si="3"/>
        <v>930</v>
      </c>
      <c r="H34" s="101"/>
      <c r="I34" s="101"/>
    </row>
    <row r="35" spans="1:9" s="102" customFormat="1" ht="19.5" customHeight="1" thickBot="1">
      <c r="A35" s="363" t="s">
        <v>378</v>
      </c>
      <c r="B35" s="364"/>
      <c r="C35" s="364"/>
      <c r="D35" s="365"/>
      <c r="E35" s="365"/>
      <c r="F35" s="365"/>
      <c r="G35" s="172"/>
      <c r="H35" s="101"/>
      <c r="I35" s="101"/>
    </row>
    <row r="36" spans="1:9" s="67" customFormat="1" ht="15.75" thickBot="1">
      <c r="A36" s="378" t="s">
        <v>383</v>
      </c>
      <c r="B36" s="379"/>
      <c r="C36" s="402"/>
      <c r="D36" s="278">
        <v>1127804.39</v>
      </c>
      <c r="E36" s="66"/>
      <c r="F36" s="66"/>
      <c r="G36" s="66"/>
      <c r="H36" s="62"/>
      <c r="I36" s="62"/>
    </row>
    <row r="37" spans="1:9" s="67" customFormat="1" ht="6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11" s="67" customFormat="1" ht="15.75" thickBot="1">
      <c r="A38" s="63" t="s">
        <v>387</v>
      </c>
      <c r="B38" s="64"/>
      <c r="C38" s="64"/>
      <c r="D38" s="69"/>
      <c r="E38" s="70"/>
      <c r="F38" s="70"/>
      <c r="G38" s="71">
        <f>G13+E26-F26+E28-F28</f>
        <v>-319243.584209329</v>
      </c>
      <c r="H38" s="62"/>
      <c r="I38" s="62"/>
      <c r="K38" s="103"/>
    </row>
    <row r="39" spans="1:11" s="67" customFormat="1" ht="15.75" thickBot="1">
      <c r="A39" s="63" t="s">
        <v>839</v>
      </c>
      <c r="B39" s="64"/>
      <c r="C39" s="64"/>
      <c r="D39" s="69"/>
      <c r="E39" s="70"/>
      <c r="F39" s="70"/>
      <c r="G39" s="71">
        <f>G14+E25-F25</f>
        <v>618244.3234093289</v>
      </c>
      <c r="H39" s="62"/>
      <c r="I39" s="62"/>
      <c r="K39" s="103"/>
    </row>
    <row r="40" spans="1:11" s="102" customFormat="1" ht="13.5">
      <c r="A40" s="104"/>
      <c r="B40" s="104"/>
      <c r="C40" s="104"/>
      <c r="D40" s="104"/>
      <c r="E40" s="101"/>
      <c r="F40" s="101"/>
      <c r="G40" s="101"/>
      <c r="H40" s="101"/>
      <c r="I40" s="101"/>
      <c r="J40" s="101"/>
      <c r="K40" s="101"/>
    </row>
    <row r="41" spans="1:11" ht="31.5" customHeight="1">
      <c r="A41" s="367" t="s">
        <v>189</v>
      </c>
      <c r="B41" s="403"/>
      <c r="C41" s="403"/>
      <c r="D41" s="403"/>
      <c r="E41" s="403"/>
      <c r="F41" s="403"/>
      <c r="G41" s="403"/>
      <c r="H41" s="62"/>
      <c r="I41" s="62"/>
      <c r="J41" s="62"/>
      <c r="K41" s="62"/>
    </row>
    <row r="43" spans="1:12" s="74" customFormat="1" ht="37.5" customHeight="1">
      <c r="A43" s="105" t="s">
        <v>11</v>
      </c>
      <c r="B43" s="394" t="s">
        <v>45</v>
      </c>
      <c r="C43" s="405"/>
      <c r="D43" s="105" t="s">
        <v>170</v>
      </c>
      <c r="E43" s="105" t="s">
        <v>169</v>
      </c>
      <c r="F43" s="497" t="s">
        <v>46</v>
      </c>
      <c r="G43" s="497"/>
      <c r="H43" s="106"/>
      <c r="I43" s="107"/>
      <c r="L43" s="108"/>
    </row>
    <row r="44" spans="1:12" s="115" customFormat="1" ht="15" customHeight="1">
      <c r="A44" s="109" t="s">
        <v>47</v>
      </c>
      <c r="B44" s="396" t="s">
        <v>114</v>
      </c>
      <c r="C44" s="399"/>
      <c r="D44" s="111"/>
      <c r="E44" s="111"/>
      <c r="F44" s="507">
        <f>SUM(F45:G56)</f>
        <v>1068822.3797</v>
      </c>
      <c r="G44" s="508"/>
      <c r="H44" s="113"/>
      <c r="I44" s="114"/>
      <c r="L44" s="116"/>
    </row>
    <row r="45" spans="1:12" ht="15">
      <c r="A45" s="34" t="s">
        <v>16</v>
      </c>
      <c r="B45" s="369" t="s">
        <v>612</v>
      </c>
      <c r="C45" s="371"/>
      <c r="D45" s="119" t="s">
        <v>265</v>
      </c>
      <c r="E45" s="122">
        <v>5.312</v>
      </c>
      <c r="F45" s="420">
        <v>265398.63</v>
      </c>
      <c r="G45" s="421"/>
      <c r="H45" s="40"/>
      <c r="I45" s="40"/>
      <c r="L45" s="120"/>
    </row>
    <row r="46" spans="1:12" ht="31.5" customHeight="1">
      <c r="A46" s="34" t="s">
        <v>18</v>
      </c>
      <c r="B46" s="369" t="s">
        <v>696</v>
      </c>
      <c r="C46" s="371"/>
      <c r="D46" s="119" t="s">
        <v>237</v>
      </c>
      <c r="E46" s="119">
        <v>0.01</v>
      </c>
      <c r="F46" s="410">
        <v>513.39</v>
      </c>
      <c r="G46" s="410"/>
      <c r="H46" s="40"/>
      <c r="I46" s="40"/>
      <c r="L46" s="120"/>
    </row>
    <row r="47" spans="1:11" s="67" customFormat="1" ht="15">
      <c r="A47" s="34" t="s">
        <v>20</v>
      </c>
      <c r="B47" s="369" t="s">
        <v>697</v>
      </c>
      <c r="C47" s="371"/>
      <c r="D47" s="119" t="s">
        <v>698</v>
      </c>
      <c r="E47" s="119">
        <v>0.1</v>
      </c>
      <c r="F47" s="410">
        <v>1434.19</v>
      </c>
      <c r="G47" s="410"/>
      <c r="H47" s="59"/>
      <c r="I47" s="59"/>
      <c r="J47" s="59"/>
      <c r="K47" s="59"/>
    </row>
    <row r="48" spans="1:11" s="67" customFormat="1" ht="15">
      <c r="A48" s="34" t="s">
        <v>22</v>
      </c>
      <c r="B48" s="369" t="s">
        <v>699</v>
      </c>
      <c r="C48" s="371"/>
      <c r="D48" s="119" t="s">
        <v>241</v>
      </c>
      <c r="E48" s="119">
        <v>0.01</v>
      </c>
      <c r="F48" s="410">
        <v>905.26</v>
      </c>
      <c r="G48" s="410"/>
      <c r="H48" s="59"/>
      <c r="I48" s="59"/>
      <c r="J48" s="59"/>
      <c r="K48" s="59"/>
    </row>
    <row r="49" spans="1:7" s="59" customFormat="1" ht="15">
      <c r="A49" s="34" t="s">
        <v>24</v>
      </c>
      <c r="B49" s="369" t="s">
        <v>700</v>
      </c>
      <c r="C49" s="371"/>
      <c r="D49" s="119" t="s">
        <v>241</v>
      </c>
      <c r="E49" s="119">
        <v>0.01</v>
      </c>
      <c r="F49" s="410">
        <v>905.26</v>
      </c>
      <c r="G49" s="410"/>
    </row>
    <row r="50" spans="1:7" s="59" customFormat="1" ht="15">
      <c r="A50" s="259" t="s">
        <v>106</v>
      </c>
      <c r="B50" s="369" t="s">
        <v>701</v>
      </c>
      <c r="C50" s="371"/>
      <c r="D50" s="119" t="s">
        <v>248</v>
      </c>
      <c r="E50" s="119">
        <v>1</v>
      </c>
      <c r="F50" s="410">
        <v>16000</v>
      </c>
      <c r="G50" s="410"/>
    </row>
    <row r="51" spans="1:7" s="59" customFormat="1" ht="26.25">
      <c r="A51" s="34" t="s">
        <v>107</v>
      </c>
      <c r="B51" s="117" t="s">
        <v>702</v>
      </c>
      <c r="C51" s="118"/>
      <c r="D51" s="119" t="s">
        <v>248</v>
      </c>
      <c r="E51" s="119">
        <v>3</v>
      </c>
      <c r="F51" s="410">
        <v>199300</v>
      </c>
      <c r="G51" s="410"/>
    </row>
    <row r="52" spans="1:7" s="59" customFormat="1" ht="15">
      <c r="A52" s="34" t="s">
        <v>120</v>
      </c>
      <c r="B52" s="117" t="s">
        <v>703</v>
      </c>
      <c r="C52" s="118"/>
      <c r="D52" s="119" t="s">
        <v>265</v>
      </c>
      <c r="E52" s="122">
        <v>0.138</v>
      </c>
      <c r="F52" s="410">
        <v>13403.36</v>
      </c>
      <c r="G52" s="410"/>
    </row>
    <row r="53" spans="1:7" s="59" customFormat="1" ht="15">
      <c r="A53" s="34" t="s">
        <v>121</v>
      </c>
      <c r="B53" s="117" t="s">
        <v>814</v>
      </c>
      <c r="C53" s="118"/>
      <c r="D53" s="119" t="s">
        <v>249</v>
      </c>
      <c r="E53" s="119"/>
      <c r="F53" s="410">
        <v>365920.54</v>
      </c>
      <c r="G53" s="410"/>
    </row>
    <row r="54" spans="1:7" s="59" customFormat="1" ht="15">
      <c r="A54" s="34" t="s">
        <v>122</v>
      </c>
      <c r="B54" s="117" t="s">
        <v>813</v>
      </c>
      <c r="C54" s="118"/>
      <c r="D54" s="119"/>
      <c r="E54" s="119"/>
      <c r="F54" s="410">
        <v>144337.6</v>
      </c>
      <c r="G54" s="410"/>
    </row>
    <row r="55" spans="1:7" s="59" customFormat="1" ht="15">
      <c r="A55" s="34" t="s">
        <v>144</v>
      </c>
      <c r="B55" s="117" t="s">
        <v>851</v>
      </c>
      <c r="C55" s="118"/>
      <c r="D55" s="119"/>
      <c r="E55" s="119"/>
      <c r="F55" s="410">
        <v>56581.23</v>
      </c>
      <c r="G55" s="410"/>
    </row>
    <row r="56" spans="1:7" ht="15">
      <c r="A56" s="34" t="s">
        <v>146</v>
      </c>
      <c r="B56" s="408" t="s">
        <v>198</v>
      </c>
      <c r="C56" s="409"/>
      <c r="D56" s="125"/>
      <c r="E56" s="125"/>
      <c r="F56" s="410">
        <f>E26*1%</f>
        <v>4122.9196999999995</v>
      </c>
      <c r="G56" s="410"/>
    </row>
    <row r="57" spans="1:7" ht="15">
      <c r="A57" s="109" t="s">
        <v>367</v>
      </c>
      <c r="B57" s="396" t="s">
        <v>351</v>
      </c>
      <c r="C57" s="399"/>
      <c r="D57" s="111"/>
      <c r="E57" s="111"/>
      <c r="F57" s="507">
        <f>SUM(F58:G61)</f>
        <v>527850.5</v>
      </c>
      <c r="G57" s="508"/>
    </row>
    <row r="58" spans="1:7" ht="15">
      <c r="A58" s="34" t="s">
        <v>355</v>
      </c>
      <c r="B58" s="369" t="s">
        <v>368</v>
      </c>
      <c r="C58" s="371"/>
      <c r="D58" s="119" t="s">
        <v>248</v>
      </c>
      <c r="E58" s="119">
        <v>1</v>
      </c>
      <c r="F58" s="410">
        <v>17490.5</v>
      </c>
      <c r="G58" s="410"/>
    </row>
    <row r="59" spans="1:7" ht="15" customHeight="1">
      <c r="A59" s="34" t="s">
        <v>356</v>
      </c>
      <c r="B59" s="369" t="s">
        <v>280</v>
      </c>
      <c r="C59" s="371"/>
      <c r="D59" s="119"/>
      <c r="E59" s="119"/>
      <c r="F59" s="410">
        <f>(40000*12)</f>
        <v>480000</v>
      </c>
      <c r="G59" s="410"/>
    </row>
    <row r="60" spans="1:7" ht="15" customHeight="1">
      <c r="A60" s="34" t="s">
        <v>364</v>
      </c>
      <c r="B60" s="369" t="s">
        <v>749</v>
      </c>
      <c r="C60" s="371"/>
      <c r="D60" s="119" t="s">
        <v>248</v>
      </c>
      <c r="E60" s="119">
        <v>4</v>
      </c>
      <c r="F60" s="420">
        <v>30360</v>
      </c>
      <c r="G60" s="421"/>
    </row>
    <row r="61" spans="1:7" ht="15" customHeight="1">
      <c r="A61" s="34" t="s">
        <v>365</v>
      </c>
      <c r="B61" s="369"/>
      <c r="C61" s="371"/>
      <c r="D61" s="119"/>
      <c r="E61" s="119"/>
      <c r="F61" s="420"/>
      <c r="G61" s="421"/>
    </row>
    <row r="62" spans="1:7" ht="12.75">
      <c r="A62" s="59"/>
      <c r="B62" s="59"/>
      <c r="C62" s="59"/>
      <c r="D62" s="59"/>
      <c r="E62" s="59"/>
      <c r="F62" s="59"/>
      <c r="G62" s="59"/>
    </row>
    <row r="63" spans="1:7" ht="15">
      <c r="A63" s="67" t="s">
        <v>55</v>
      </c>
      <c r="B63" s="67"/>
      <c r="C63" s="127" t="s">
        <v>49</v>
      </c>
      <c r="D63" s="67"/>
      <c r="E63" s="67"/>
      <c r="F63" s="67" t="s">
        <v>93</v>
      </c>
      <c r="G63" s="67"/>
    </row>
    <row r="64" spans="1:7" ht="15">
      <c r="A64" s="67"/>
      <c r="B64" s="67"/>
      <c r="C64" s="127"/>
      <c r="D64" s="67"/>
      <c r="E64" s="67"/>
      <c r="F64" s="128" t="s">
        <v>516</v>
      </c>
      <c r="G64" s="67"/>
    </row>
    <row r="65" spans="1:7" ht="15">
      <c r="A65" s="67" t="s">
        <v>50</v>
      </c>
      <c r="B65" s="67"/>
      <c r="C65" s="127"/>
      <c r="D65" s="67"/>
      <c r="E65" s="67"/>
      <c r="F65" s="67"/>
      <c r="G65" s="67"/>
    </row>
    <row r="66" spans="1:7" ht="15">
      <c r="A66" s="67"/>
      <c r="B66" s="67"/>
      <c r="C66" s="129" t="s">
        <v>51</v>
      </c>
      <c r="D66" s="67"/>
      <c r="E66" s="130"/>
      <c r="F66" s="130"/>
      <c r="G66" s="130"/>
    </row>
  </sheetData>
  <sheetProtection/>
  <mergeCells count="45">
    <mergeCell ref="F57:G57"/>
    <mergeCell ref="B48:C48"/>
    <mergeCell ref="B49:C49"/>
    <mergeCell ref="B58:C58"/>
    <mergeCell ref="B60:C60"/>
    <mergeCell ref="F60:G60"/>
    <mergeCell ref="B61:C61"/>
    <mergeCell ref="B56:C56"/>
    <mergeCell ref="F56:G56"/>
    <mergeCell ref="F61:G61"/>
    <mergeCell ref="B57:C57"/>
    <mergeCell ref="F49:G49"/>
    <mergeCell ref="A1:K1"/>
    <mergeCell ref="A2:K2"/>
    <mergeCell ref="A3:K3"/>
    <mergeCell ref="A5:K5"/>
    <mergeCell ref="A9:K9"/>
    <mergeCell ref="A11:K11"/>
    <mergeCell ref="F48:G48"/>
    <mergeCell ref="B45:C45"/>
    <mergeCell ref="F45:G45"/>
    <mergeCell ref="A10:K10"/>
    <mergeCell ref="A36:C36"/>
    <mergeCell ref="B43:C43"/>
    <mergeCell ref="F43:G43"/>
    <mergeCell ref="A35:F35"/>
    <mergeCell ref="A41:G41"/>
    <mergeCell ref="N25:O25"/>
    <mergeCell ref="B47:C47"/>
    <mergeCell ref="F47:G47"/>
    <mergeCell ref="B44:C44"/>
    <mergeCell ref="F44:G44"/>
    <mergeCell ref="R25:S25"/>
    <mergeCell ref="B46:C46"/>
    <mergeCell ref="F46:G46"/>
    <mergeCell ref="F55:G55"/>
    <mergeCell ref="B50:C50"/>
    <mergeCell ref="F50:G50"/>
    <mergeCell ref="F58:G58"/>
    <mergeCell ref="B59:C59"/>
    <mergeCell ref="F59:G59"/>
    <mergeCell ref="F51:G51"/>
    <mergeCell ref="F52:G52"/>
    <mergeCell ref="F53:G53"/>
    <mergeCell ref="F54:G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7030A0"/>
  </sheetPr>
  <dimension ref="A1:N50"/>
  <sheetViews>
    <sheetView zoomScalePageLayoutView="0" workbookViewId="0" topLeftCell="A13">
      <selection activeCell="G14" sqref="G1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226</v>
      </c>
      <c r="H7" s="60"/>
    </row>
    <row r="8" spans="1:10" s="59" customFormat="1" ht="12.75">
      <c r="A8" s="59" t="s">
        <v>3</v>
      </c>
      <c r="F8" s="310" t="s">
        <v>287</v>
      </c>
      <c r="H8" s="60"/>
      <c r="I8" s="61">
        <v>150.2</v>
      </c>
      <c r="J8" s="59">
        <f>1589.5+150.2</f>
        <v>1739.7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3.5" thickBot="1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16.5" customHeight="1" thickBot="1">
      <c r="A12" s="378" t="s">
        <v>283</v>
      </c>
      <c r="B12" s="379"/>
      <c r="C12" s="379"/>
      <c r="D12" s="50">
        <v>27724.94</v>
      </c>
      <c r="E12" s="66"/>
      <c r="F12" s="66"/>
      <c r="G12" s="66"/>
      <c r="H12" s="62"/>
      <c r="I12" s="62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404</v>
      </c>
      <c r="B14" s="64"/>
      <c r="C14" s="64"/>
      <c r="D14" s="69"/>
      <c r="E14" s="70"/>
      <c r="F14" s="70"/>
      <c r="G14" s="65">
        <f>'[3]Гагарина 9'!$G$35</f>
        <v>35216.310000000005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94</v>
      </c>
      <c r="D16" s="72" t="s">
        <v>374</v>
      </c>
      <c r="E16" s="72" t="s">
        <v>375</v>
      </c>
      <c r="F16" s="73" t="s">
        <v>376</v>
      </c>
      <c r="G16" s="72" t="s">
        <v>377</v>
      </c>
    </row>
    <row r="17" spans="1:14" s="59" customFormat="1" ht="14.25">
      <c r="A17" s="75" t="s">
        <v>14</v>
      </c>
      <c r="B17" s="41" t="s">
        <v>15</v>
      </c>
      <c r="C17" s="97">
        <f>C18+C19+C20+C21</f>
        <v>10.18</v>
      </c>
      <c r="D17" s="76">
        <v>192402</v>
      </c>
      <c r="E17" s="76">
        <v>195126.03</v>
      </c>
      <c r="F17" s="76">
        <f aca="true" t="shared" si="0" ref="F17:F24">D17</f>
        <v>192402</v>
      </c>
      <c r="G17" s="77">
        <f>D17-E17</f>
        <v>-2724.029999999999</v>
      </c>
      <c r="H17" s="78">
        <f>C17</f>
        <v>10.18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65394</v>
      </c>
      <c r="E18" s="83">
        <f>E17*I18</f>
        <v>66319.8490962672</v>
      </c>
      <c r="F18" s="83">
        <f t="shared" si="0"/>
        <v>65394</v>
      </c>
      <c r="G18" s="84">
        <f>D18-E18</f>
        <v>-925.8490962671931</v>
      </c>
      <c r="H18" s="78">
        <f>C18</f>
        <v>3.46</v>
      </c>
      <c r="I18" s="59">
        <f>H18/H17</f>
        <v>0.33988212180746563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31941</v>
      </c>
      <c r="E19" s="83">
        <f>E17*I19</f>
        <v>32393.22109037328</v>
      </c>
      <c r="F19" s="83">
        <f t="shared" si="0"/>
        <v>31941</v>
      </c>
      <c r="G19" s="84">
        <f>D19-E19</f>
        <v>-452.2210903732812</v>
      </c>
      <c r="H19" s="78">
        <f>C19</f>
        <v>1.69</v>
      </c>
      <c r="I19" s="59">
        <f>H19/H17</f>
        <v>0.16601178781925344</v>
      </c>
    </row>
    <row r="20" spans="1:9" s="59" customFormat="1" ht="15">
      <c r="A20" s="81" t="s">
        <v>20</v>
      </c>
      <c r="B20" s="34" t="s">
        <v>21</v>
      </c>
      <c r="C20" s="82">
        <v>1.99</v>
      </c>
      <c r="D20" s="83">
        <f>D17*I20</f>
        <v>37611</v>
      </c>
      <c r="E20" s="83">
        <f>E17*I20</f>
        <v>38143.49702357564</v>
      </c>
      <c r="F20" s="83">
        <f t="shared" si="0"/>
        <v>37611</v>
      </c>
      <c r="G20" s="84">
        <f>D20-E20</f>
        <v>-532.4970235756409</v>
      </c>
      <c r="H20" s="78">
        <f>C20</f>
        <v>1.99</v>
      </c>
      <c r="I20" s="59">
        <f>H20/H17</f>
        <v>0.19548133595284872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57456</v>
      </c>
      <c r="E21" s="83">
        <f>E17*I21</f>
        <v>58269.462789783895</v>
      </c>
      <c r="F21" s="83">
        <f t="shared" si="0"/>
        <v>57456</v>
      </c>
      <c r="G21" s="84">
        <f>D21-E21</f>
        <v>-813.4627897838946</v>
      </c>
      <c r="H21" s="78">
        <f>C21</f>
        <v>3.04</v>
      </c>
      <c r="I21" s="59">
        <f>H21/H17</f>
        <v>0.29862475442043224</v>
      </c>
    </row>
    <row r="22" spans="1:11" s="89" customFormat="1" ht="14.25">
      <c r="A22" s="86" t="s">
        <v>25</v>
      </c>
      <c r="B22" s="86" t="s">
        <v>26</v>
      </c>
      <c r="C22" s="46">
        <v>3.86</v>
      </c>
      <c r="D22" s="87">
        <v>72735.6</v>
      </c>
      <c r="E22" s="87">
        <v>73963.74</v>
      </c>
      <c r="F22" s="87">
        <v>0</v>
      </c>
      <c r="G22" s="77">
        <f aca="true" t="shared" si="1" ref="G22:G31">D22-E22</f>
        <v>-1228.1399999999994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247</v>
      </c>
      <c r="C23" s="46">
        <v>1.68</v>
      </c>
      <c r="D23" s="87">
        <v>35072.16</v>
      </c>
      <c r="E23" s="87">
        <v>35632.63</v>
      </c>
      <c r="F23" s="87">
        <f>D23</f>
        <v>35072.16</v>
      </c>
      <c r="G23" s="77">
        <f t="shared" si="1"/>
        <v>-560.4699999999939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30</v>
      </c>
      <c r="C24" s="46">
        <v>0</v>
      </c>
      <c r="D24" s="87">
        <v>0</v>
      </c>
      <c r="E24" s="87">
        <v>0</v>
      </c>
      <c r="F24" s="87">
        <f t="shared" si="0"/>
        <v>0</v>
      </c>
      <c r="G24" s="77">
        <f t="shared" si="1"/>
        <v>0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119</v>
      </c>
      <c r="C25" s="95">
        <v>1.99</v>
      </c>
      <c r="D25" s="87">
        <v>37957.2</v>
      </c>
      <c r="E25" s="87">
        <v>38594.67</v>
      </c>
      <c r="F25" s="87">
        <f>F42</f>
        <v>385.94669999999996</v>
      </c>
      <c r="G25" s="77">
        <f t="shared" si="1"/>
        <v>-637.4700000000012</v>
      </c>
      <c r="H25" s="88"/>
      <c r="I25" s="88"/>
      <c r="J25" s="88"/>
      <c r="K25" s="88"/>
    </row>
    <row r="26" spans="1:11" ht="14.25">
      <c r="A26" s="41" t="s">
        <v>33</v>
      </c>
      <c r="B26" s="41" t="s">
        <v>168</v>
      </c>
      <c r="C26" s="97">
        <v>12.54</v>
      </c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/>
      <c r="D27" s="77">
        <f>SUM(D28:D31)</f>
        <v>528037.54</v>
      </c>
      <c r="E27" s="77">
        <f>SUM(E28:E31)</f>
        <v>503319.74</v>
      </c>
      <c r="F27" s="77">
        <f>SUM(F28:F31)</f>
        <v>528037.54</v>
      </c>
      <c r="G27" s="77">
        <f t="shared" si="1"/>
        <v>24717.800000000047</v>
      </c>
      <c r="H27" s="98"/>
      <c r="I27" s="98"/>
      <c r="J27" s="98"/>
      <c r="K27" s="98"/>
    </row>
    <row r="28" spans="1:7" ht="15">
      <c r="A28" s="34" t="s">
        <v>37</v>
      </c>
      <c r="B28" s="34" t="s">
        <v>172</v>
      </c>
      <c r="C28" s="301" t="s">
        <v>413</v>
      </c>
      <c r="D28" s="84">
        <v>18798.72</v>
      </c>
      <c r="E28" s="84">
        <v>19098.66</v>
      </c>
      <c r="F28" s="84">
        <f>D28</f>
        <v>18798.72</v>
      </c>
      <c r="G28" s="84">
        <f t="shared" si="1"/>
        <v>-299.9399999999987</v>
      </c>
    </row>
    <row r="29" spans="1:7" ht="15">
      <c r="A29" s="34" t="s">
        <v>39</v>
      </c>
      <c r="B29" s="34" t="s">
        <v>142</v>
      </c>
      <c r="C29" s="293" t="s">
        <v>382</v>
      </c>
      <c r="D29" s="84">
        <v>98206.53</v>
      </c>
      <c r="E29" s="84">
        <v>88246.25</v>
      </c>
      <c r="F29" s="84">
        <f>D29</f>
        <v>98206.53</v>
      </c>
      <c r="G29" s="84">
        <f t="shared" si="1"/>
        <v>9960.279999999999</v>
      </c>
    </row>
    <row r="30" spans="1:7" ht="15">
      <c r="A30" s="34" t="s">
        <v>42</v>
      </c>
      <c r="B30" s="34" t="s">
        <v>143</v>
      </c>
      <c r="C30" s="294" t="s">
        <v>381</v>
      </c>
      <c r="D30" s="216">
        <v>152943.02</v>
      </c>
      <c r="E30" s="216">
        <v>130213.58</v>
      </c>
      <c r="F30" s="84">
        <f>D30</f>
        <v>152943.02</v>
      </c>
      <c r="G30" s="84">
        <f t="shared" si="1"/>
        <v>22729.439999999988</v>
      </c>
    </row>
    <row r="31" spans="1:7" ht="15">
      <c r="A31" s="34" t="s">
        <v>41</v>
      </c>
      <c r="B31" s="34" t="s">
        <v>43</v>
      </c>
      <c r="C31" s="293" t="s">
        <v>380</v>
      </c>
      <c r="D31" s="84">
        <v>258089.27</v>
      </c>
      <c r="E31" s="84">
        <v>265761.25</v>
      </c>
      <c r="F31" s="84">
        <f>D31</f>
        <v>258089.27</v>
      </c>
      <c r="G31" s="84">
        <f t="shared" si="1"/>
        <v>-7671.9800000000105</v>
      </c>
    </row>
    <row r="32" spans="1:9" s="102" customFormat="1" ht="21" customHeight="1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</row>
    <row r="33" spans="1:9" s="67" customFormat="1" ht="15.75" thickBot="1">
      <c r="A33" s="378" t="s">
        <v>383</v>
      </c>
      <c r="B33" s="379"/>
      <c r="C33" s="379"/>
      <c r="D33" s="65">
        <v>141751.79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387</v>
      </c>
      <c r="B35" s="64"/>
      <c r="C35" s="64"/>
      <c r="D35" s="69"/>
      <c r="E35" s="70"/>
      <c r="F35" s="70"/>
      <c r="G35" s="146">
        <f>G14+E25-F25</f>
        <v>73425.03330000001</v>
      </c>
      <c r="H35" s="62"/>
      <c r="I35" s="62"/>
    </row>
    <row r="36" spans="1:9" s="67" customFormat="1" ht="15">
      <c r="A36" s="427" t="s">
        <v>489</v>
      </c>
      <c r="B36" s="428"/>
      <c r="C36" s="104"/>
      <c r="D36" s="104"/>
      <c r="E36" s="101"/>
      <c r="F36" s="101"/>
      <c r="G36" s="101"/>
      <c r="H36" s="62"/>
      <c r="I36" s="62"/>
    </row>
    <row r="37" spans="1:9" s="67" customFormat="1" ht="15">
      <c r="A37" s="429" t="s">
        <v>150</v>
      </c>
      <c r="B37" s="430"/>
      <c r="C37" s="322" t="s">
        <v>151</v>
      </c>
      <c r="D37" s="322" t="s">
        <v>152</v>
      </c>
      <c r="E37" s="323" t="s">
        <v>153</v>
      </c>
      <c r="F37" s="324" t="s">
        <v>154</v>
      </c>
      <c r="G37" s="323" t="s">
        <v>155</v>
      </c>
      <c r="H37" s="62"/>
      <c r="I37" s="62"/>
    </row>
    <row r="38" spans="1:9" s="67" customFormat="1" ht="15">
      <c r="A38" s="431"/>
      <c r="B38" s="432"/>
      <c r="C38" s="302">
        <v>150.2</v>
      </c>
      <c r="D38" s="325">
        <f>E38/C38/12</f>
        <v>15.91000887705282</v>
      </c>
      <c r="E38" s="327">
        <v>28676.2</v>
      </c>
      <c r="F38" s="327">
        <v>28590.59</v>
      </c>
      <c r="G38" s="325">
        <f>E38-F38</f>
        <v>85.61000000000058</v>
      </c>
      <c r="H38" s="62"/>
      <c r="I38" s="307">
        <v>150.2</v>
      </c>
    </row>
    <row r="39" spans="1:11" ht="31.5" customHeight="1">
      <c r="A39" s="367" t="s">
        <v>189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</row>
    <row r="41" spans="1:12" s="74" customFormat="1" ht="37.5" customHeight="1">
      <c r="A41" s="105" t="s">
        <v>11</v>
      </c>
      <c r="B41" s="394" t="s">
        <v>45</v>
      </c>
      <c r="C41" s="405"/>
      <c r="D41" s="105" t="s">
        <v>170</v>
      </c>
      <c r="E41" s="105" t="s">
        <v>169</v>
      </c>
      <c r="F41" s="394" t="s">
        <v>46</v>
      </c>
      <c r="G41" s="405"/>
      <c r="H41" s="251"/>
      <c r="I41" s="252"/>
      <c r="L41" s="108"/>
    </row>
    <row r="42" spans="1:12" s="115" customFormat="1" ht="15" customHeight="1">
      <c r="A42" s="109" t="s">
        <v>47</v>
      </c>
      <c r="B42" s="396" t="s">
        <v>114</v>
      </c>
      <c r="C42" s="399"/>
      <c r="D42" s="111"/>
      <c r="E42" s="111"/>
      <c r="F42" s="411">
        <f>SUM(F43:G44)</f>
        <v>385.94669999999996</v>
      </c>
      <c r="G42" s="404"/>
      <c r="H42" s="253"/>
      <c r="I42" s="254"/>
      <c r="L42" s="116"/>
    </row>
    <row r="43" spans="1:12" ht="15">
      <c r="A43" s="34" t="s">
        <v>16</v>
      </c>
      <c r="B43" s="369"/>
      <c r="C43" s="371"/>
      <c r="D43" s="119"/>
      <c r="E43" s="119"/>
      <c r="F43" s="420"/>
      <c r="G43" s="421"/>
      <c r="H43" s="255"/>
      <c r="I43" s="256"/>
      <c r="L43" s="120"/>
    </row>
    <row r="44" spans="1:11" s="67" customFormat="1" ht="15">
      <c r="A44" s="34" t="s">
        <v>18</v>
      </c>
      <c r="B44" s="408" t="s">
        <v>198</v>
      </c>
      <c r="C44" s="409"/>
      <c r="D44" s="125"/>
      <c r="E44" s="125"/>
      <c r="F44" s="410">
        <f>E25*1%</f>
        <v>385.94669999999996</v>
      </c>
      <c r="G44" s="410"/>
      <c r="H44" s="59"/>
      <c r="I44" s="59"/>
      <c r="J44" s="59"/>
      <c r="K44" s="59"/>
    </row>
    <row r="45" s="59" customFormat="1" ht="9" customHeight="1"/>
    <row r="46" spans="1:11" s="59" customFormat="1" ht="15">
      <c r="A46" s="67" t="s">
        <v>55</v>
      </c>
      <c r="B46" s="67"/>
      <c r="C46" s="127" t="s">
        <v>49</v>
      </c>
      <c r="D46" s="67"/>
      <c r="E46" s="67"/>
      <c r="F46" s="67" t="s">
        <v>93</v>
      </c>
      <c r="G46" s="67"/>
      <c r="H46" s="67"/>
      <c r="I46" s="67"/>
      <c r="J46" s="67"/>
      <c r="K46" s="67"/>
    </row>
    <row r="47" spans="1:7" s="59" customFormat="1" ht="15">
      <c r="A47" s="67"/>
      <c r="B47" s="67"/>
      <c r="C47" s="127"/>
      <c r="D47" s="67"/>
      <c r="E47" s="67"/>
      <c r="F47" s="128" t="s">
        <v>516</v>
      </c>
      <c r="G47" s="67"/>
    </row>
    <row r="48" spans="1:10" s="59" customFormat="1" ht="15">
      <c r="A48" s="67" t="s">
        <v>50</v>
      </c>
      <c r="B48" s="67"/>
      <c r="C48" s="127"/>
      <c r="D48" s="67"/>
      <c r="E48" s="67"/>
      <c r="F48" s="67"/>
      <c r="G48" s="67"/>
      <c r="H48" s="158"/>
      <c r="I48" s="158"/>
      <c r="J48" s="158"/>
    </row>
    <row r="49" spans="1:11" ht="15">
      <c r="A49" s="67"/>
      <c r="B49" s="67"/>
      <c r="C49" s="129" t="s">
        <v>51</v>
      </c>
      <c r="D49" s="67"/>
      <c r="E49" s="130"/>
      <c r="F49" s="130"/>
      <c r="G49" s="130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</sheetData>
  <sheetProtection/>
  <mergeCells count="21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9:K39"/>
    <mergeCell ref="B41:C41"/>
    <mergeCell ref="F41:G41"/>
    <mergeCell ref="A32:F32"/>
    <mergeCell ref="A36:B36"/>
    <mergeCell ref="A37:B38"/>
    <mergeCell ref="B44:C44"/>
    <mergeCell ref="F44:G44"/>
    <mergeCell ref="B42:C42"/>
    <mergeCell ref="F42:G42"/>
    <mergeCell ref="B43:C43"/>
    <mergeCell ref="F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4"/>
  <sheetViews>
    <sheetView zoomScalePageLayoutView="0" workbookViewId="0" topLeftCell="A17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227</v>
      </c>
      <c r="H7" s="60"/>
    </row>
    <row r="8" spans="1:8" s="59" customFormat="1" ht="12.75">
      <c r="A8" s="59" t="s">
        <v>3</v>
      </c>
      <c r="F8" s="310" t="s">
        <v>464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'[1]Добровольского 14'!$G$35</f>
        <v>-4981.51489999998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415252.92</v>
      </c>
      <c r="E16" s="76">
        <v>383092.74</v>
      </c>
      <c r="F16" s="76">
        <f aca="true" t="shared" si="0" ref="F16:F23">D16</f>
        <v>415252.92</v>
      </c>
      <c r="G16" s="77">
        <f>D16-E16</f>
        <v>32160.179999999993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145422.58129554655</v>
      </c>
      <c r="E17" s="83">
        <f>E16*I17</f>
        <v>134160.00813765184</v>
      </c>
      <c r="F17" s="83">
        <f t="shared" si="0"/>
        <v>145422.58129554655</v>
      </c>
      <c r="G17" s="84">
        <f>D17-E17</f>
        <v>11262.573157894716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71030.1047368421</v>
      </c>
      <c r="E18" s="83">
        <f>E16*I18</f>
        <v>65529.021315789476</v>
      </c>
      <c r="F18" s="83">
        <f t="shared" si="0"/>
        <v>71030.1047368421</v>
      </c>
      <c r="G18" s="84">
        <f>D18-E18</f>
        <v>5501.083421052623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71030.1047368421</v>
      </c>
      <c r="E19" s="83">
        <f>E16*I19</f>
        <v>65529.021315789476</v>
      </c>
      <c r="F19" s="83">
        <f t="shared" si="0"/>
        <v>71030.1047368421</v>
      </c>
      <c r="G19" s="84">
        <f>D19-E19</f>
        <v>5501.083421052623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127770.12923076923</v>
      </c>
      <c r="E20" s="83">
        <f>E16*I20</f>
        <v>117874.68923076923</v>
      </c>
      <c r="F20" s="83">
        <f t="shared" si="0"/>
        <v>127770.12923076923</v>
      </c>
      <c r="G20" s="84">
        <f>D20-E20</f>
        <v>9895.440000000002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87">
        <f>E21-D21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353</v>
      </c>
      <c r="C22" s="46">
        <v>200</v>
      </c>
      <c r="D22" s="87">
        <v>168000</v>
      </c>
      <c r="E22" s="87">
        <v>167436.61</v>
      </c>
      <c r="F22" s="87">
        <f>D22</f>
        <v>168000</v>
      </c>
      <c r="G22" s="77">
        <f aca="true" t="shared" si="1" ref="G22:G30">D22-E22</f>
        <v>563.390000000014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1.86</v>
      </c>
      <c r="D24" s="87">
        <v>73059.65</v>
      </c>
      <c r="E24" s="87">
        <v>72331.17</v>
      </c>
      <c r="F24" s="87">
        <f>F38</f>
        <v>42247.3117</v>
      </c>
      <c r="G24" s="77">
        <f t="shared" si="1"/>
        <v>728.4799999999959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 t="s">
        <v>395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1825377.55</v>
      </c>
      <c r="E26" s="77">
        <f>SUM(E27:E30)</f>
        <v>1790025.8</v>
      </c>
      <c r="F26" s="77">
        <f>SUM(F27:F30)</f>
        <v>1825377.55</v>
      </c>
      <c r="G26" s="77">
        <f t="shared" si="1"/>
        <v>35351.75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301" t="s">
        <v>379</v>
      </c>
      <c r="D27" s="84">
        <v>29460.79</v>
      </c>
      <c r="E27" s="84">
        <v>29084.46</v>
      </c>
      <c r="F27" s="84">
        <f>D27</f>
        <v>29460.79</v>
      </c>
      <c r="G27" s="84">
        <f t="shared" si="1"/>
        <v>376.33000000000175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465819.15</v>
      </c>
      <c r="E28" s="84">
        <v>466382.63</v>
      </c>
      <c r="F28" s="84">
        <f>D28</f>
        <v>465819.15</v>
      </c>
      <c r="G28" s="84">
        <f t="shared" si="1"/>
        <v>-563.4799999999814</v>
      </c>
    </row>
    <row r="29" spans="1:7" ht="15">
      <c r="A29" s="34" t="s">
        <v>42</v>
      </c>
      <c r="B29" s="34" t="s">
        <v>143</v>
      </c>
      <c r="C29" s="145">
        <v>0</v>
      </c>
      <c r="D29" s="216">
        <v>0</v>
      </c>
      <c r="E29" s="216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1330097.61</v>
      </c>
      <c r="E30" s="84">
        <v>1294558.71</v>
      </c>
      <c r="F30" s="84">
        <f>D30</f>
        <v>1330097.61</v>
      </c>
      <c r="G30" s="84">
        <f t="shared" si="1"/>
        <v>35538.90000000014</v>
      </c>
    </row>
    <row r="31" spans="1:9" s="102" customFormat="1" ht="24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744391.31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25102.34340000002</v>
      </c>
      <c r="H34" s="62"/>
      <c r="I34" s="62"/>
    </row>
    <row r="35" spans="1:11" ht="31.5" customHeight="1">
      <c r="A35" s="367" t="s">
        <v>189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2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SUM(F39:G48)</f>
        <v>42247.3117</v>
      </c>
      <c r="G38" s="404"/>
      <c r="H38" s="253"/>
      <c r="I38" s="254"/>
      <c r="L38" s="116"/>
    </row>
    <row r="39" spans="1:12" ht="15">
      <c r="A39" s="34" t="s">
        <v>16</v>
      </c>
      <c r="B39" s="369" t="s">
        <v>704</v>
      </c>
      <c r="C39" s="371"/>
      <c r="D39" s="119"/>
      <c r="E39" s="119"/>
      <c r="F39" s="420">
        <v>5000</v>
      </c>
      <c r="G39" s="421"/>
      <c r="H39" s="255"/>
      <c r="I39" s="256"/>
      <c r="L39" s="120"/>
    </row>
    <row r="40" spans="1:12" ht="15">
      <c r="A40" s="34" t="s">
        <v>18</v>
      </c>
      <c r="B40" s="369" t="s">
        <v>705</v>
      </c>
      <c r="C40" s="371"/>
      <c r="D40" s="119"/>
      <c r="E40" s="119" t="s">
        <v>252</v>
      </c>
      <c r="F40" s="420">
        <v>650</v>
      </c>
      <c r="G40" s="421"/>
      <c r="H40" s="40"/>
      <c r="I40" s="40"/>
      <c r="L40" s="120"/>
    </row>
    <row r="41" spans="1:12" ht="15">
      <c r="A41" s="34" t="s">
        <v>20</v>
      </c>
      <c r="B41" s="369" t="s">
        <v>167</v>
      </c>
      <c r="C41" s="371"/>
      <c r="D41" s="119" t="s">
        <v>174</v>
      </c>
      <c r="E41" s="119">
        <v>1200</v>
      </c>
      <c r="F41" s="420">
        <v>11628</v>
      </c>
      <c r="G41" s="421"/>
      <c r="H41" s="40"/>
      <c r="I41" s="40"/>
      <c r="L41" s="120"/>
    </row>
    <row r="42" spans="1:12" ht="15">
      <c r="A42" s="34" t="s">
        <v>22</v>
      </c>
      <c r="B42" s="369" t="s">
        <v>706</v>
      </c>
      <c r="C42" s="371"/>
      <c r="D42" s="119" t="s">
        <v>171</v>
      </c>
      <c r="E42" s="119">
        <v>1</v>
      </c>
      <c r="F42" s="420">
        <v>7113</v>
      </c>
      <c r="G42" s="421"/>
      <c r="H42" s="40"/>
      <c r="I42" s="40"/>
      <c r="L42" s="120"/>
    </row>
    <row r="43" spans="1:12" ht="15">
      <c r="A43" s="34" t="s">
        <v>24</v>
      </c>
      <c r="B43" s="369" t="s">
        <v>707</v>
      </c>
      <c r="C43" s="371"/>
      <c r="D43" s="119" t="s">
        <v>241</v>
      </c>
      <c r="E43" s="119">
        <v>0.06</v>
      </c>
      <c r="F43" s="420">
        <v>5714</v>
      </c>
      <c r="G43" s="421"/>
      <c r="H43" s="40"/>
      <c r="I43" s="40"/>
      <c r="L43" s="120"/>
    </row>
    <row r="44" spans="1:12" ht="15" customHeight="1">
      <c r="A44" s="34" t="s">
        <v>106</v>
      </c>
      <c r="B44" s="369" t="s">
        <v>705</v>
      </c>
      <c r="C44" s="371"/>
      <c r="D44" s="119"/>
      <c r="E44" s="119" t="s">
        <v>252</v>
      </c>
      <c r="F44" s="410">
        <v>973</v>
      </c>
      <c r="G44" s="410"/>
      <c r="H44" s="40"/>
      <c r="I44" s="40"/>
      <c r="L44" s="120"/>
    </row>
    <row r="45" spans="1:12" ht="27.75" customHeight="1">
      <c r="A45" s="34" t="s">
        <v>107</v>
      </c>
      <c r="B45" s="369" t="s">
        <v>708</v>
      </c>
      <c r="C45" s="415"/>
      <c r="D45" s="119"/>
      <c r="E45" s="119" t="s">
        <v>710</v>
      </c>
      <c r="F45" s="410">
        <v>5000</v>
      </c>
      <c r="G45" s="410"/>
      <c r="H45" s="40"/>
      <c r="I45" s="40"/>
      <c r="L45" s="120"/>
    </row>
    <row r="46" spans="1:12" ht="15">
      <c r="A46" s="34" t="s">
        <v>120</v>
      </c>
      <c r="B46" s="369" t="s">
        <v>709</v>
      </c>
      <c r="C46" s="415"/>
      <c r="D46" s="119"/>
      <c r="E46" s="154" t="s">
        <v>336</v>
      </c>
      <c r="F46" s="410">
        <v>5000</v>
      </c>
      <c r="G46" s="410"/>
      <c r="H46" s="40"/>
      <c r="I46" s="40"/>
      <c r="L46" s="120"/>
    </row>
    <row r="47" spans="1:12" ht="15">
      <c r="A47" s="34" t="s">
        <v>121</v>
      </c>
      <c r="B47" s="369" t="s">
        <v>711</v>
      </c>
      <c r="C47" s="415"/>
      <c r="D47" s="119"/>
      <c r="E47" s="154"/>
      <c r="F47" s="410">
        <v>446</v>
      </c>
      <c r="G47" s="410"/>
      <c r="H47" s="40"/>
      <c r="I47" s="40"/>
      <c r="L47" s="120"/>
    </row>
    <row r="48" spans="1:11" s="67" customFormat="1" ht="15">
      <c r="A48" s="34" t="s">
        <v>122</v>
      </c>
      <c r="B48" s="408" t="s">
        <v>198</v>
      </c>
      <c r="C48" s="409"/>
      <c r="D48" s="125"/>
      <c r="E48" s="125"/>
      <c r="F48" s="410">
        <f>E24*1%</f>
        <v>723.3117</v>
      </c>
      <c r="G48" s="410"/>
      <c r="H48" s="59"/>
      <c r="I48" s="59"/>
      <c r="J48" s="59"/>
      <c r="K48" s="59"/>
    </row>
    <row r="49" s="59" customFormat="1" ht="9" customHeight="1"/>
    <row r="50" spans="1:11" s="59" customFormat="1" ht="15">
      <c r="A50" s="67" t="s">
        <v>55</v>
      </c>
      <c r="B50" s="67"/>
      <c r="C50" s="127" t="s">
        <v>49</v>
      </c>
      <c r="D50" s="67"/>
      <c r="E50" s="67"/>
      <c r="F50" s="67" t="s">
        <v>93</v>
      </c>
      <c r="G50" s="67"/>
      <c r="H50" s="67"/>
      <c r="I50" s="67"/>
      <c r="J50" s="67"/>
      <c r="K50" s="67"/>
    </row>
    <row r="51" spans="1:7" s="59" customFormat="1" ht="15">
      <c r="A51" s="67"/>
      <c r="B51" s="67"/>
      <c r="C51" s="127"/>
      <c r="D51" s="67"/>
      <c r="E51" s="67"/>
      <c r="F51" s="128" t="s">
        <v>516</v>
      </c>
      <c r="G51" s="67"/>
    </row>
    <row r="52" spans="1:10" s="59" customFormat="1" ht="15">
      <c r="A52" s="67" t="s">
        <v>50</v>
      </c>
      <c r="B52" s="67"/>
      <c r="C52" s="127"/>
      <c r="D52" s="67"/>
      <c r="E52" s="67"/>
      <c r="F52" s="67"/>
      <c r="G52" s="67"/>
      <c r="H52" s="158"/>
      <c r="I52" s="158"/>
      <c r="J52" s="158"/>
    </row>
    <row r="53" spans="1:11" ht="15">
      <c r="A53" s="67"/>
      <c r="B53" s="67"/>
      <c r="C53" s="129" t="s">
        <v>51</v>
      </c>
      <c r="D53" s="67"/>
      <c r="E53" s="130"/>
      <c r="F53" s="130"/>
      <c r="G53" s="130"/>
      <c r="H53" s="59"/>
      <c r="I53" s="59"/>
      <c r="J53" s="59"/>
      <c r="K53" s="59"/>
    </row>
    <row r="54" spans="1:11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</row>
  </sheetData>
  <sheetProtection/>
  <mergeCells count="34">
    <mergeCell ref="A31:F31"/>
    <mergeCell ref="A11:K11"/>
    <mergeCell ref="A1:K1"/>
    <mergeCell ref="A2:K2"/>
    <mergeCell ref="A3:K3"/>
    <mergeCell ref="A5:K5"/>
    <mergeCell ref="A9:K9"/>
    <mergeCell ref="A10:K10"/>
    <mergeCell ref="A32:C32"/>
    <mergeCell ref="A35:K35"/>
    <mergeCell ref="B37:C37"/>
    <mergeCell ref="F37:G37"/>
    <mergeCell ref="B38:C38"/>
    <mergeCell ref="F38:G38"/>
    <mergeCell ref="B39:C39"/>
    <mergeCell ref="F39:G39"/>
    <mergeCell ref="B40:C40"/>
    <mergeCell ref="F40:G40"/>
    <mergeCell ref="B47:C47"/>
    <mergeCell ref="F47:G47"/>
    <mergeCell ref="B41:C41"/>
    <mergeCell ref="F41:G41"/>
    <mergeCell ref="B43:C43"/>
    <mergeCell ref="B44:C44"/>
    <mergeCell ref="B48:C48"/>
    <mergeCell ref="F48:G48"/>
    <mergeCell ref="F42:G42"/>
    <mergeCell ref="F43:G43"/>
    <mergeCell ref="F44:G44"/>
    <mergeCell ref="B42:C42"/>
    <mergeCell ref="B46:C46"/>
    <mergeCell ref="F46:G46"/>
    <mergeCell ref="B45:C45"/>
    <mergeCell ref="F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7030A0"/>
  </sheetPr>
  <dimension ref="A1:N55"/>
  <sheetViews>
    <sheetView zoomScalePageLayoutView="0" workbookViewId="0" topLeftCell="A35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0" s="59" customFormat="1" ht="16.5" customHeight="1">
      <c r="A7" s="59" t="s">
        <v>2</v>
      </c>
      <c r="F7" s="60" t="s">
        <v>228</v>
      </c>
      <c r="H7" s="280">
        <f>I7+J7</f>
        <v>3115.7</v>
      </c>
      <c r="I7" s="61">
        <v>59.6</v>
      </c>
      <c r="J7" s="61">
        <v>3056.1</v>
      </c>
    </row>
    <row r="8" spans="1:8" s="59" customFormat="1" ht="12.75">
      <c r="A8" s="59" t="s">
        <v>3</v>
      </c>
      <c r="F8" s="310" t="s">
        <v>229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318</v>
      </c>
      <c r="B13" s="64"/>
      <c r="C13" s="64"/>
      <c r="D13" s="69"/>
      <c r="E13" s="70"/>
      <c r="F13" s="70"/>
      <c r="G13" s="65">
        <f>'[1]Чижевского 12'!$G$35</f>
        <v>149230.4324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358052.56</v>
      </c>
      <c r="E16" s="76">
        <v>328364.07</v>
      </c>
      <c r="F16" s="76">
        <f aca="true" t="shared" si="0" ref="F16:F23">D16</f>
        <v>358052.56</v>
      </c>
      <c r="G16" s="77">
        <f>D16-E16</f>
        <v>29688.48999999999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125390.87627530366</v>
      </c>
      <c r="E17" s="83">
        <f>E16*I17</f>
        <v>114993.89495951419</v>
      </c>
      <c r="F17" s="83">
        <f t="shared" si="0"/>
        <v>125390.87627530366</v>
      </c>
      <c r="G17" s="84">
        <f>D17-E17</f>
        <v>10396.981315789468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61245.832631578945</v>
      </c>
      <c r="E18" s="83">
        <f>E16*I18</f>
        <v>56167.53828947369</v>
      </c>
      <c r="F18" s="83">
        <f t="shared" si="0"/>
        <v>61245.832631578945</v>
      </c>
      <c r="G18" s="84">
        <f>D18-E18</f>
        <v>5078.294342105255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61245.832631578945</v>
      </c>
      <c r="E19" s="83">
        <f>E16*I19</f>
        <v>56167.53828947369</v>
      </c>
      <c r="F19" s="83">
        <f t="shared" si="0"/>
        <v>61245.832631578945</v>
      </c>
      <c r="G19" s="84">
        <f>D19-E19</f>
        <v>5078.294342105255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110170.01846153846</v>
      </c>
      <c r="E20" s="83">
        <f>E16*I20</f>
        <v>101035.09846153847</v>
      </c>
      <c r="F20" s="83">
        <f t="shared" si="0"/>
        <v>110170.01846153846</v>
      </c>
      <c r="G20" s="84">
        <f>D20-E20</f>
        <v>9134.919999999998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230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212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3</v>
      </c>
      <c r="D24" s="87">
        <v>110019.6</v>
      </c>
      <c r="E24" s="87">
        <v>100806.4</v>
      </c>
      <c r="F24" s="87">
        <f>F41</f>
        <v>188170.76400000002</v>
      </c>
      <c r="G24" s="77">
        <f t="shared" si="1"/>
        <v>9213.200000000012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>
        <v>0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1562619.53</v>
      </c>
      <c r="E26" s="77">
        <f>SUM(E27:E30)</f>
        <v>1501581.24</v>
      </c>
      <c r="F26" s="77">
        <f>SUM(F27:F30)</f>
        <v>1562619.53</v>
      </c>
      <c r="G26" s="77">
        <f t="shared" si="1"/>
        <v>61038.29000000004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301" t="s">
        <v>379</v>
      </c>
      <c r="D27" s="84">
        <v>7979.76</v>
      </c>
      <c r="E27" s="84">
        <v>7841.71</v>
      </c>
      <c r="F27" s="84">
        <f>D27</f>
        <v>7979.76</v>
      </c>
      <c r="G27" s="84">
        <f t="shared" si="1"/>
        <v>138.05000000000018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462457.05</v>
      </c>
      <c r="E28" s="84">
        <v>428399.77</v>
      </c>
      <c r="F28" s="84">
        <f>D28</f>
        <v>462457.05</v>
      </c>
      <c r="G28" s="84">
        <f t="shared" si="1"/>
        <v>34057.27999999997</v>
      </c>
    </row>
    <row r="29" spans="1:7" ht="15">
      <c r="A29" s="34" t="s">
        <v>42</v>
      </c>
      <c r="B29" s="34" t="s">
        <v>143</v>
      </c>
      <c r="C29" s="145">
        <v>0</v>
      </c>
      <c r="D29" s="216">
        <v>0</v>
      </c>
      <c r="E29" s="216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1092182.72</v>
      </c>
      <c r="E30" s="84">
        <v>1065339.76</v>
      </c>
      <c r="F30" s="84">
        <f>D30</f>
        <v>1092182.72</v>
      </c>
      <c r="G30" s="84">
        <f t="shared" si="1"/>
        <v>26842.959999999963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431921.4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465</v>
      </c>
      <c r="B34" s="64"/>
      <c r="C34" s="64"/>
      <c r="D34" s="69"/>
      <c r="E34" s="70"/>
      <c r="F34" s="70"/>
      <c r="G34" s="146">
        <f>G13+E24-F24</f>
        <v>61866.06839999996</v>
      </c>
      <c r="H34" s="62"/>
      <c r="I34" s="62"/>
    </row>
    <row r="35" spans="1:9" s="67" customFormat="1" ht="15">
      <c r="A35" s="427" t="s">
        <v>489</v>
      </c>
      <c r="B35" s="428"/>
      <c r="C35" s="104"/>
      <c r="D35" s="104"/>
      <c r="E35" s="101"/>
      <c r="F35" s="101"/>
      <c r="G35" s="101"/>
      <c r="H35" s="62"/>
      <c r="I35" s="62"/>
    </row>
    <row r="36" spans="1:9" s="67" customFormat="1" ht="15">
      <c r="A36" s="429" t="s">
        <v>150</v>
      </c>
      <c r="B36" s="430"/>
      <c r="C36" s="322" t="s">
        <v>151</v>
      </c>
      <c r="D36" s="322" t="s">
        <v>152</v>
      </c>
      <c r="E36" s="323" t="s">
        <v>153</v>
      </c>
      <c r="F36" s="324" t="s">
        <v>154</v>
      </c>
      <c r="G36" s="323" t="s">
        <v>155</v>
      </c>
      <c r="H36" s="62"/>
      <c r="I36" s="62"/>
    </row>
    <row r="37" spans="1:9" s="67" customFormat="1" ht="15">
      <c r="A37" s="431"/>
      <c r="B37" s="432"/>
      <c r="C37" s="302">
        <v>59.6</v>
      </c>
      <c r="D37" s="325">
        <f>E37/C37/12</f>
        <v>33.860724272930646</v>
      </c>
      <c r="E37" s="327">
        <v>24217.19</v>
      </c>
      <c r="F37" s="327">
        <v>0</v>
      </c>
      <c r="G37" s="325">
        <f>E37-F37</f>
        <v>24217.19</v>
      </c>
      <c r="H37" s="62"/>
      <c r="I37" s="62"/>
    </row>
    <row r="38" spans="1:11" ht="31.5" customHeight="1">
      <c r="A38" s="367" t="s">
        <v>189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67"/>
    </row>
    <row r="40" spans="1:12" s="74" customFormat="1" ht="37.5" customHeight="1">
      <c r="A40" s="105" t="s">
        <v>11</v>
      </c>
      <c r="B40" s="394" t="s">
        <v>45</v>
      </c>
      <c r="C40" s="405"/>
      <c r="D40" s="105" t="s">
        <v>170</v>
      </c>
      <c r="E40" s="105" t="s">
        <v>169</v>
      </c>
      <c r="F40" s="394" t="s">
        <v>46</v>
      </c>
      <c r="G40" s="405"/>
      <c r="H40" s="251"/>
      <c r="I40" s="252"/>
      <c r="L40" s="108"/>
    </row>
    <row r="41" spans="1:12" s="115" customFormat="1" ht="15" customHeight="1">
      <c r="A41" s="109" t="s">
        <v>47</v>
      </c>
      <c r="B41" s="396" t="s">
        <v>114</v>
      </c>
      <c r="C41" s="399"/>
      <c r="D41" s="111"/>
      <c r="E41" s="111"/>
      <c r="F41" s="411">
        <f>SUM(F42:G49)</f>
        <v>188170.76400000002</v>
      </c>
      <c r="G41" s="404"/>
      <c r="H41" s="253"/>
      <c r="I41" s="254"/>
      <c r="L41" s="116"/>
    </row>
    <row r="42" spans="1:12" ht="15">
      <c r="A42" s="34" t="s">
        <v>16</v>
      </c>
      <c r="B42" s="369" t="s">
        <v>712</v>
      </c>
      <c r="C42" s="371"/>
      <c r="D42" s="119" t="s">
        <v>240</v>
      </c>
      <c r="E42" s="119">
        <v>0.07</v>
      </c>
      <c r="F42" s="420">
        <v>16259.9</v>
      </c>
      <c r="G42" s="421"/>
      <c r="H42" s="255"/>
      <c r="I42" s="256"/>
      <c r="L42" s="120"/>
    </row>
    <row r="43" spans="1:12" ht="15">
      <c r="A43" s="34" t="s">
        <v>18</v>
      </c>
      <c r="B43" s="369" t="s">
        <v>713</v>
      </c>
      <c r="C43" s="415"/>
      <c r="D43" s="119" t="s">
        <v>241</v>
      </c>
      <c r="E43" s="119">
        <v>0.4</v>
      </c>
      <c r="F43" s="420">
        <v>4191.16</v>
      </c>
      <c r="G43" s="421"/>
      <c r="H43" s="40"/>
      <c r="I43" s="40"/>
      <c r="L43" s="120"/>
    </row>
    <row r="44" spans="1:12" ht="15">
      <c r="A44" s="34" t="s">
        <v>20</v>
      </c>
      <c r="B44" s="369" t="s">
        <v>714</v>
      </c>
      <c r="C44" s="415"/>
      <c r="D44" s="119" t="s">
        <v>240</v>
      </c>
      <c r="E44" s="122">
        <v>0.155</v>
      </c>
      <c r="F44" s="420">
        <v>27288.19</v>
      </c>
      <c r="G44" s="421"/>
      <c r="H44" s="40"/>
      <c r="I44" s="40"/>
      <c r="L44" s="120"/>
    </row>
    <row r="45" spans="1:12" ht="15">
      <c r="A45" s="34" t="s">
        <v>22</v>
      </c>
      <c r="B45" s="369" t="s">
        <v>715</v>
      </c>
      <c r="C45" s="415"/>
      <c r="D45" s="119" t="s">
        <v>240</v>
      </c>
      <c r="E45" s="154">
        <v>0.015</v>
      </c>
      <c r="F45" s="410">
        <v>10423.45</v>
      </c>
      <c r="G45" s="410"/>
      <c r="H45" s="40"/>
      <c r="I45" s="40"/>
      <c r="L45" s="120"/>
    </row>
    <row r="46" spans="1:12" ht="15">
      <c r="A46" s="34" t="s">
        <v>24</v>
      </c>
      <c r="B46" s="369" t="s">
        <v>793</v>
      </c>
      <c r="C46" s="415"/>
      <c r="D46" s="119"/>
      <c r="E46" s="154"/>
      <c r="F46" s="410">
        <v>32000</v>
      </c>
      <c r="G46" s="410"/>
      <c r="H46" s="40"/>
      <c r="I46" s="40"/>
      <c r="L46" s="120"/>
    </row>
    <row r="47" spans="1:12" ht="15">
      <c r="A47" s="34" t="s">
        <v>106</v>
      </c>
      <c r="B47" s="369" t="s">
        <v>804</v>
      </c>
      <c r="C47" s="415"/>
      <c r="D47" s="119"/>
      <c r="E47" s="154"/>
      <c r="F47" s="410">
        <v>87000</v>
      </c>
      <c r="G47" s="410"/>
      <c r="H47" s="40"/>
      <c r="I47" s="40"/>
      <c r="L47" s="120"/>
    </row>
    <row r="48" spans="1:12" ht="15">
      <c r="A48" s="34" t="s">
        <v>107</v>
      </c>
      <c r="B48" s="369" t="s">
        <v>840</v>
      </c>
      <c r="C48" s="415"/>
      <c r="D48" s="119"/>
      <c r="E48" s="154"/>
      <c r="F48" s="410">
        <v>10000</v>
      </c>
      <c r="G48" s="410"/>
      <c r="H48" s="40"/>
      <c r="I48" s="40"/>
      <c r="L48" s="120"/>
    </row>
    <row r="49" spans="1:11" s="67" customFormat="1" ht="15">
      <c r="A49" s="34" t="s">
        <v>120</v>
      </c>
      <c r="B49" s="408" t="s">
        <v>198</v>
      </c>
      <c r="C49" s="409"/>
      <c r="D49" s="125"/>
      <c r="E49" s="125"/>
      <c r="F49" s="410">
        <f>E24*1%</f>
        <v>1008.064</v>
      </c>
      <c r="G49" s="410"/>
      <c r="H49" s="59"/>
      <c r="I49" s="59"/>
      <c r="J49" s="59"/>
      <c r="K49" s="59"/>
    </row>
    <row r="50" s="59" customFormat="1" ht="9" customHeight="1"/>
    <row r="51" spans="1:11" s="59" customFormat="1" ht="15">
      <c r="A51" s="67" t="s">
        <v>55</v>
      </c>
      <c r="B51" s="67"/>
      <c r="C51" s="127" t="s">
        <v>49</v>
      </c>
      <c r="D51" s="67"/>
      <c r="E51" s="67"/>
      <c r="F51" s="67" t="s">
        <v>93</v>
      </c>
      <c r="G51" s="67"/>
      <c r="H51" s="67"/>
      <c r="I51" s="67"/>
      <c r="J51" s="67"/>
      <c r="K51" s="67"/>
    </row>
    <row r="52" spans="1:7" s="59" customFormat="1" ht="15">
      <c r="A52" s="67"/>
      <c r="B52" s="67"/>
      <c r="C52" s="127"/>
      <c r="D52" s="67"/>
      <c r="E52" s="67"/>
      <c r="F52" s="128" t="s">
        <v>516</v>
      </c>
      <c r="G52" s="67"/>
    </row>
    <row r="53" spans="1:10" s="59" customFormat="1" ht="15">
      <c r="A53" s="67" t="s">
        <v>50</v>
      </c>
      <c r="B53" s="67"/>
      <c r="C53" s="127"/>
      <c r="D53" s="67"/>
      <c r="E53" s="67"/>
      <c r="F53" s="67"/>
      <c r="G53" s="67"/>
      <c r="H53" s="158"/>
      <c r="I53" s="158"/>
      <c r="J53" s="158"/>
    </row>
    <row r="54" spans="1:11" ht="15">
      <c r="A54" s="67"/>
      <c r="B54" s="67"/>
      <c r="C54" s="129" t="s">
        <v>51</v>
      </c>
      <c r="D54" s="67"/>
      <c r="E54" s="130"/>
      <c r="F54" s="130"/>
      <c r="G54" s="130"/>
      <c r="H54" s="59"/>
      <c r="I54" s="59"/>
      <c r="J54" s="59"/>
      <c r="K54" s="59"/>
    </row>
    <row r="55" spans="1:11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</row>
  </sheetData>
  <sheetProtection/>
  <mergeCells count="31">
    <mergeCell ref="B49:C49"/>
    <mergeCell ref="F49:G49"/>
    <mergeCell ref="B41:C41"/>
    <mergeCell ref="F41:G41"/>
    <mergeCell ref="B42:C42"/>
    <mergeCell ref="B45:C45"/>
    <mergeCell ref="F45:G45"/>
    <mergeCell ref="F42:G42"/>
    <mergeCell ref="B46:C46"/>
    <mergeCell ref="B47:C47"/>
    <mergeCell ref="A1:K1"/>
    <mergeCell ref="A2:K2"/>
    <mergeCell ref="A3:K3"/>
    <mergeCell ref="A5:K5"/>
    <mergeCell ref="A9:K9"/>
    <mergeCell ref="A36:B37"/>
    <mergeCell ref="A10:K10"/>
    <mergeCell ref="A11:K11"/>
    <mergeCell ref="A32:C32"/>
    <mergeCell ref="A35:B35"/>
    <mergeCell ref="F40:G40"/>
    <mergeCell ref="B43:C43"/>
    <mergeCell ref="B44:C44"/>
    <mergeCell ref="F43:G43"/>
    <mergeCell ref="F44:G44"/>
    <mergeCell ref="B48:C48"/>
    <mergeCell ref="F48:G48"/>
    <mergeCell ref="F46:G46"/>
    <mergeCell ref="F47:G47"/>
    <mergeCell ref="A38:K38"/>
    <mergeCell ref="B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5"/>
  <sheetViews>
    <sheetView zoomScalePageLayoutView="0" workbookViewId="0" topLeftCell="A40">
      <selection activeCell="G35" sqref="G35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234</v>
      </c>
      <c r="H7" s="60"/>
    </row>
    <row r="8" spans="1:10" s="59" customFormat="1" ht="12.75">
      <c r="A8" s="59" t="s">
        <v>3</v>
      </c>
      <c r="F8" s="310" t="s">
        <v>490</v>
      </c>
      <c r="H8" s="61">
        <v>70.5</v>
      </c>
      <c r="I8" s="311">
        <f>70.5+42.9+42.2+62.9+76.9+44.5+66.1</f>
        <v>406</v>
      </c>
      <c r="J8" s="61">
        <f>5086.6+70.5</f>
        <v>5157.1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3.5" thickBot="1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25.5" customHeight="1" thickBot="1">
      <c r="A12" s="63" t="s">
        <v>454</v>
      </c>
      <c r="B12" s="64"/>
      <c r="C12" s="64"/>
      <c r="D12" s="69"/>
      <c r="E12" s="70"/>
      <c r="F12" s="70"/>
      <c r="G12" s="268">
        <f>'[1]Чижевского 23'!$G$36</f>
        <v>221555.69</v>
      </c>
      <c r="H12" s="62"/>
      <c r="I12" s="62"/>
    </row>
    <row r="13" spans="1:9" s="67" customFormat="1" ht="25.5" customHeight="1" thickBot="1">
      <c r="A13" s="63" t="s">
        <v>404</v>
      </c>
      <c r="B13" s="64"/>
      <c r="C13" s="64"/>
      <c r="D13" s="69"/>
      <c r="E13" s="70"/>
      <c r="F13" s="70"/>
      <c r="G13" s="65">
        <f>'[1]Чижевского 23'!$G$35</f>
        <v>82934.8961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620866.89</v>
      </c>
      <c r="E16" s="76">
        <v>617914.02</v>
      </c>
      <c r="F16" s="76">
        <f aca="true" t="shared" si="0" ref="F16:F22">D16</f>
        <v>620866.89</v>
      </c>
      <c r="G16" s="77">
        <f>D16-E16</f>
        <v>2952.8699999999953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207756.23205029016</v>
      </c>
      <c r="E17" s="83">
        <f>E16*I17</f>
        <v>206768.13435203096</v>
      </c>
      <c r="F17" s="83">
        <f t="shared" si="0"/>
        <v>207756.23205029016</v>
      </c>
      <c r="G17" s="84">
        <f>D17-E17</f>
        <v>988.0976982591965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101476.30987427465</v>
      </c>
      <c r="E18" s="83">
        <f>E16*I18</f>
        <v>100993.68411992262</v>
      </c>
      <c r="F18" s="83">
        <f t="shared" si="0"/>
        <v>101476.30987427465</v>
      </c>
      <c r="G18" s="84">
        <f>D18-E18</f>
        <v>482.62575435203325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2">
        <v>2.15</v>
      </c>
      <c r="D19" s="83">
        <f>D16*I19</f>
        <v>129097.08060928434</v>
      </c>
      <c r="E19" s="83">
        <f>E16*I19</f>
        <v>128483.08926499034</v>
      </c>
      <c r="F19" s="83">
        <f t="shared" si="0"/>
        <v>129097.08060928434</v>
      </c>
      <c r="G19" s="84">
        <f>D19-E19</f>
        <v>613.9913442940015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182537.2674661509</v>
      </c>
      <c r="E20" s="83">
        <f>E16*I20</f>
        <v>181669.1122630561</v>
      </c>
      <c r="F20" s="83">
        <f t="shared" si="0"/>
        <v>182537.2674661509</v>
      </c>
      <c r="G20" s="84">
        <f>D20-E20</f>
        <v>868.1552030947933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230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1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212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373</v>
      </c>
      <c r="C23" s="46">
        <v>3</v>
      </c>
      <c r="D23" s="87">
        <v>182110.2</v>
      </c>
      <c r="E23" s="87">
        <v>181443.8</v>
      </c>
      <c r="F23" s="87">
        <v>0</v>
      </c>
      <c r="G23" s="77">
        <f t="shared" si="1"/>
        <v>666.4000000000233</v>
      </c>
      <c r="H23" s="88"/>
      <c r="I23" s="88"/>
      <c r="J23" s="88"/>
      <c r="K23" s="88"/>
    </row>
    <row r="24" spans="1:11" s="89" customFormat="1" ht="42.75">
      <c r="A24" s="86" t="s">
        <v>31</v>
      </c>
      <c r="B24" s="86" t="s">
        <v>745</v>
      </c>
      <c r="C24" s="46">
        <v>0</v>
      </c>
      <c r="D24" s="87">
        <v>0</v>
      </c>
      <c r="E24" s="87">
        <f>416025.41+310464.56+52363.48</f>
        <v>778853.45</v>
      </c>
      <c r="F24" s="87">
        <f>F47</f>
        <v>156070</v>
      </c>
      <c r="G24" s="77">
        <f t="shared" si="1"/>
        <v>-778853.45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119</v>
      </c>
      <c r="C25" s="95">
        <v>3</v>
      </c>
      <c r="D25" s="87">
        <v>182110.2</v>
      </c>
      <c r="E25" s="87">
        <v>181443.8</v>
      </c>
      <c r="F25" s="87">
        <f>F43-F24</f>
        <v>583362.128</v>
      </c>
      <c r="G25" s="77">
        <f>D25-E25</f>
        <v>666.4000000000233</v>
      </c>
      <c r="H25" s="88"/>
      <c r="I25" s="88"/>
      <c r="J25" s="88"/>
      <c r="K25" s="88"/>
    </row>
    <row r="26" spans="1:11" ht="14.25">
      <c r="A26" s="41" t="s">
        <v>33</v>
      </c>
      <c r="B26" s="41" t="s">
        <v>168</v>
      </c>
      <c r="C26" s="97">
        <v>12.54</v>
      </c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/>
      <c r="D27" s="77">
        <f>SUM(D28:D31)</f>
        <v>1364646.3</v>
      </c>
      <c r="E27" s="77">
        <f>SUM(E28:E31)</f>
        <v>1299487.9500000002</v>
      </c>
      <c r="F27" s="77">
        <f>SUM(F28:F31)</f>
        <v>1364646.3</v>
      </c>
      <c r="G27" s="77">
        <f t="shared" si="1"/>
        <v>65158.34999999986</v>
      </c>
      <c r="H27" s="98"/>
      <c r="I27" s="98"/>
      <c r="J27" s="98"/>
      <c r="K27" s="98"/>
    </row>
    <row r="28" spans="1:7" ht="15">
      <c r="A28" s="34" t="s">
        <v>37</v>
      </c>
      <c r="B28" s="34" t="s">
        <v>172</v>
      </c>
      <c r="C28" s="293" t="s">
        <v>379</v>
      </c>
      <c r="D28" s="84">
        <v>49101.07</v>
      </c>
      <c r="E28" s="84">
        <v>45206.74</v>
      </c>
      <c r="F28" s="84">
        <f>D28</f>
        <v>49101.07</v>
      </c>
      <c r="G28" s="84">
        <f t="shared" si="1"/>
        <v>3894.3300000000017</v>
      </c>
    </row>
    <row r="29" spans="1:7" ht="15">
      <c r="A29" s="34" t="s">
        <v>39</v>
      </c>
      <c r="B29" s="34" t="s">
        <v>142</v>
      </c>
      <c r="C29" s="293" t="s">
        <v>382</v>
      </c>
      <c r="D29" s="84">
        <v>508104.34</v>
      </c>
      <c r="E29" s="84">
        <v>493688.31</v>
      </c>
      <c r="F29" s="84">
        <f>D29</f>
        <v>508104.34</v>
      </c>
      <c r="G29" s="84">
        <f t="shared" si="1"/>
        <v>14416.030000000028</v>
      </c>
    </row>
    <row r="30" spans="1:7" ht="15">
      <c r="A30" s="34" t="s">
        <v>42</v>
      </c>
      <c r="B30" s="34" t="s">
        <v>143</v>
      </c>
      <c r="C30" s="294" t="s">
        <v>381</v>
      </c>
      <c r="D30" s="84">
        <v>807440.89</v>
      </c>
      <c r="E30" s="84">
        <v>760592.9</v>
      </c>
      <c r="F30" s="84">
        <f>D30</f>
        <v>807440.89</v>
      </c>
      <c r="G30" s="84">
        <f t="shared" si="1"/>
        <v>46847.98999999999</v>
      </c>
    </row>
    <row r="31" spans="1:7" ht="15">
      <c r="A31" s="34" t="s">
        <v>41</v>
      </c>
      <c r="B31" s="34" t="s">
        <v>43</v>
      </c>
      <c r="C31" s="145"/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s="102" customFormat="1" ht="21.75" customHeight="1" thickBot="1">
      <c r="A32" s="363" t="s">
        <v>378</v>
      </c>
      <c r="B32" s="364"/>
      <c r="C32" s="364"/>
      <c r="D32" s="365"/>
      <c r="E32" s="365"/>
      <c r="F32" s="365"/>
      <c r="G32" s="101"/>
      <c r="H32" s="101"/>
      <c r="I32" s="101"/>
    </row>
    <row r="33" spans="1:9" s="67" customFormat="1" ht="15.75" thickBot="1">
      <c r="A33" s="378" t="s">
        <v>383</v>
      </c>
      <c r="B33" s="379"/>
      <c r="C33" s="379"/>
      <c r="D33" s="65">
        <v>433768.38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387</v>
      </c>
      <c r="B35" s="64"/>
      <c r="C35" s="64"/>
      <c r="D35" s="69"/>
      <c r="E35" s="70"/>
      <c r="F35" s="70"/>
      <c r="G35" s="146">
        <f>G13+E25-F25+E24-F24</f>
        <v>303800.0180999999</v>
      </c>
      <c r="H35" s="62"/>
      <c r="I35" s="62"/>
    </row>
    <row r="36" spans="1:9" s="67" customFormat="1" ht="15.75" thickBot="1">
      <c r="A36" s="63" t="s">
        <v>466</v>
      </c>
      <c r="B36" s="64"/>
      <c r="C36" s="64"/>
      <c r="D36" s="69"/>
      <c r="E36" s="70"/>
      <c r="F36" s="70"/>
      <c r="G36" s="146">
        <f>G12+E23-F23</f>
        <v>402999.49</v>
      </c>
      <c r="H36" s="62"/>
      <c r="I36" s="62"/>
    </row>
    <row r="37" spans="1:9" s="67" customFormat="1" ht="15">
      <c r="A37" s="68" t="s">
        <v>489</v>
      </c>
      <c r="B37" s="68"/>
      <c r="C37" s="68"/>
      <c r="D37" s="40"/>
      <c r="E37" s="66"/>
      <c r="F37" s="66"/>
      <c r="G37" s="40"/>
      <c r="H37" s="62"/>
      <c r="I37" s="62"/>
    </row>
    <row r="38" spans="1:9" s="67" customFormat="1" ht="15">
      <c r="A38" s="429" t="s">
        <v>150</v>
      </c>
      <c r="B38" s="430"/>
      <c r="C38" s="322" t="s">
        <v>151</v>
      </c>
      <c r="D38" s="322" t="s">
        <v>152</v>
      </c>
      <c r="E38" s="323" t="s">
        <v>153</v>
      </c>
      <c r="F38" s="324" t="s">
        <v>154</v>
      </c>
      <c r="G38" s="323" t="s">
        <v>155</v>
      </c>
      <c r="H38" s="62"/>
      <c r="I38" s="62"/>
    </row>
    <row r="39" spans="1:9" s="67" customFormat="1" ht="15">
      <c r="A39" s="431"/>
      <c r="B39" s="432"/>
      <c r="C39" s="302">
        <f>66.1+44.5+42.2+76.9+42.9+62.9</f>
        <v>335.5</v>
      </c>
      <c r="D39" s="325">
        <f>E39/C39/12</f>
        <v>16.6953303527074</v>
      </c>
      <c r="E39" s="327">
        <f>12863.04+8659.72+12240.36+11581.8+13522.12+8348.36</f>
        <v>67215.4</v>
      </c>
      <c r="F39" s="327">
        <f>11622.83+7932.59+15278.97+10892.25+12265.57+0</f>
        <v>57992.21</v>
      </c>
      <c r="G39" s="325">
        <f>E39-F39</f>
        <v>9223.189999999995</v>
      </c>
      <c r="H39" s="62"/>
      <c r="I39" s="62"/>
    </row>
    <row r="40" spans="1:11" ht="31.5" customHeight="1">
      <c r="A40" s="367" t="s">
        <v>189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</row>
    <row r="42" spans="1:12" s="74" customFormat="1" ht="37.5" customHeight="1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5"/>
      <c r="H42" s="251"/>
      <c r="I42" s="252"/>
      <c r="L42" s="108"/>
    </row>
    <row r="43" spans="1:12" s="115" customFormat="1" ht="15" customHeight="1">
      <c r="A43" s="109" t="s">
        <v>47</v>
      </c>
      <c r="B43" s="396" t="s">
        <v>114</v>
      </c>
      <c r="C43" s="399"/>
      <c r="D43" s="111"/>
      <c r="E43" s="111"/>
      <c r="F43" s="411">
        <f>SUM(F44:G49)</f>
        <v>739432.128</v>
      </c>
      <c r="G43" s="404"/>
      <c r="H43" s="253"/>
      <c r="I43" s="254"/>
      <c r="L43" s="116"/>
    </row>
    <row r="44" spans="1:12" ht="15">
      <c r="A44" s="34" t="s">
        <v>16</v>
      </c>
      <c r="B44" s="369" t="s">
        <v>242</v>
      </c>
      <c r="C44" s="371"/>
      <c r="D44" s="119" t="s">
        <v>257</v>
      </c>
      <c r="E44" s="119">
        <v>0.28</v>
      </c>
      <c r="F44" s="420">
        <v>559936.42</v>
      </c>
      <c r="G44" s="421"/>
      <c r="H44" s="255"/>
      <c r="I44" s="256"/>
      <c r="L44" s="120"/>
    </row>
    <row r="45" spans="1:12" ht="15">
      <c r="A45" s="34" t="s">
        <v>18</v>
      </c>
      <c r="B45" s="369" t="s">
        <v>525</v>
      </c>
      <c r="C45" s="371"/>
      <c r="D45" s="119" t="s">
        <v>241</v>
      </c>
      <c r="E45" s="119">
        <v>0.01</v>
      </c>
      <c r="F45" s="420">
        <v>2043.22</v>
      </c>
      <c r="G45" s="421"/>
      <c r="H45" s="40"/>
      <c r="I45" s="40"/>
      <c r="L45" s="120"/>
    </row>
    <row r="46" spans="1:12" ht="15">
      <c r="A46" s="34" t="s">
        <v>20</v>
      </c>
      <c r="B46" s="369" t="s">
        <v>286</v>
      </c>
      <c r="C46" s="371"/>
      <c r="D46" s="119" t="s">
        <v>241</v>
      </c>
      <c r="E46" s="119">
        <v>0.01</v>
      </c>
      <c r="F46" s="420">
        <v>9568.05</v>
      </c>
      <c r="G46" s="421"/>
      <c r="H46" s="40"/>
      <c r="I46" s="40"/>
      <c r="L46" s="120"/>
    </row>
    <row r="47" spans="1:12" ht="15">
      <c r="A47" s="34" t="s">
        <v>22</v>
      </c>
      <c r="B47" s="369" t="s">
        <v>743</v>
      </c>
      <c r="C47" s="371"/>
      <c r="D47" s="119" t="s">
        <v>744</v>
      </c>
      <c r="E47" s="119"/>
      <c r="F47" s="420">
        <v>156070</v>
      </c>
      <c r="G47" s="421"/>
      <c r="H47" s="40"/>
      <c r="I47" s="40"/>
      <c r="L47" s="120"/>
    </row>
    <row r="48" spans="1:12" ht="15">
      <c r="A48" s="34" t="s">
        <v>24</v>
      </c>
      <c r="B48" s="369" t="s">
        <v>840</v>
      </c>
      <c r="C48" s="371"/>
      <c r="D48" s="119"/>
      <c r="E48" s="119"/>
      <c r="F48" s="420">
        <v>10000</v>
      </c>
      <c r="G48" s="421"/>
      <c r="H48" s="40"/>
      <c r="I48" s="40"/>
      <c r="L48" s="120"/>
    </row>
    <row r="49" spans="1:11" s="67" customFormat="1" ht="15">
      <c r="A49" s="34" t="s">
        <v>106</v>
      </c>
      <c r="B49" s="408" t="s">
        <v>198</v>
      </c>
      <c r="C49" s="409"/>
      <c r="D49" s="125"/>
      <c r="E49" s="125"/>
      <c r="F49" s="410">
        <f>E25*1%</f>
        <v>1814.4379999999999</v>
      </c>
      <c r="G49" s="410"/>
      <c r="H49" s="59"/>
      <c r="I49" s="59"/>
      <c r="J49" s="59"/>
      <c r="K49" s="59"/>
    </row>
    <row r="50" s="59" customFormat="1" ht="9" customHeight="1"/>
    <row r="51" spans="1:11" s="59" customFormat="1" ht="15">
      <c r="A51" s="67" t="s">
        <v>55</v>
      </c>
      <c r="B51" s="67"/>
      <c r="C51" s="127" t="s">
        <v>49</v>
      </c>
      <c r="D51" s="67"/>
      <c r="E51" s="67"/>
      <c r="F51" s="67" t="s">
        <v>93</v>
      </c>
      <c r="G51" s="67"/>
      <c r="H51" s="67"/>
      <c r="I51" s="67"/>
      <c r="J51" s="67"/>
      <c r="K51" s="67"/>
    </row>
    <row r="52" spans="1:7" s="59" customFormat="1" ht="15">
      <c r="A52" s="67"/>
      <c r="B52" s="67"/>
      <c r="C52" s="127"/>
      <c r="D52" s="67"/>
      <c r="E52" s="67"/>
      <c r="F52" s="128" t="s">
        <v>516</v>
      </c>
      <c r="G52" s="67"/>
    </row>
    <row r="53" spans="1:10" s="59" customFormat="1" ht="15">
      <c r="A53" s="67" t="s">
        <v>50</v>
      </c>
      <c r="B53" s="67"/>
      <c r="C53" s="127"/>
      <c r="D53" s="67"/>
      <c r="E53" s="67"/>
      <c r="F53" s="67"/>
      <c r="G53" s="67"/>
      <c r="H53" s="158"/>
      <c r="I53" s="158"/>
      <c r="J53" s="158"/>
    </row>
    <row r="54" spans="1:11" ht="15">
      <c r="A54" s="67"/>
      <c r="B54" s="67"/>
      <c r="C54" s="129" t="s">
        <v>51</v>
      </c>
      <c r="D54" s="67"/>
      <c r="E54" s="130"/>
      <c r="F54" s="130"/>
      <c r="G54" s="130"/>
      <c r="H54" s="59"/>
      <c r="I54" s="59"/>
      <c r="J54" s="59"/>
      <c r="K54" s="59"/>
    </row>
    <row r="55" spans="1:11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</row>
  </sheetData>
  <sheetProtection/>
  <mergeCells count="27">
    <mergeCell ref="A11:K11"/>
    <mergeCell ref="A33:C33"/>
    <mergeCell ref="A1:K1"/>
    <mergeCell ref="A2:K2"/>
    <mergeCell ref="A3:K3"/>
    <mergeCell ref="A5:K5"/>
    <mergeCell ref="A9:K9"/>
    <mergeCell ref="A10:K10"/>
    <mergeCell ref="A32:F32"/>
    <mergeCell ref="A38:B39"/>
    <mergeCell ref="B49:C49"/>
    <mergeCell ref="F49:G49"/>
    <mergeCell ref="B43:C43"/>
    <mergeCell ref="F43:G43"/>
    <mergeCell ref="B44:C44"/>
    <mergeCell ref="F47:G47"/>
    <mergeCell ref="B47:C47"/>
    <mergeCell ref="F44:G44"/>
    <mergeCell ref="B45:C45"/>
    <mergeCell ref="B48:C48"/>
    <mergeCell ref="F48:G48"/>
    <mergeCell ref="B46:C46"/>
    <mergeCell ref="F45:G45"/>
    <mergeCell ref="F46:G46"/>
    <mergeCell ref="A40:K40"/>
    <mergeCell ref="B42:C42"/>
    <mergeCell ref="F42:G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7030A0"/>
  </sheetPr>
  <dimension ref="A1:N53"/>
  <sheetViews>
    <sheetView zoomScalePageLayoutView="0" workbookViewId="0" topLeftCell="A17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231</v>
      </c>
      <c r="H7" s="60"/>
    </row>
    <row r="8" spans="1:8" s="59" customFormat="1" ht="12.75">
      <c r="A8" s="59" t="s">
        <v>3</v>
      </c>
      <c r="F8" s="310" t="s">
        <v>293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'[1]Болотникова 16'!$G$35</f>
        <v>8835.775500000018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413645.64</v>
      </c>
      <c r="E16" s="76">
        <v>397305.75</v>
      </c>
      <c r="F16" s="76">
        <f aca="true" t="shared" si="0" ref="F16:F23">D16</f>
        <v>413645.64</v>
      </c>
      <c r="G16" s="77">
        <f>D16-E16</f>
        <v>16339.890000000014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144859.7079352227</v>
      </c>
      <c r="E17" s="83">
        <f>E16*I17</f>
        <v>139137.4387651822</v>
      </c>
      <c r="F17" s="83">
        <f t="shared" si="0"/>
        <v>144859.7079352227</v>
      </c>
      <c r="G17" s="84">
        <f>D17-E17</f>
        <v>5722.269170040498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70755.1752631579</v>
      </c>
      <c r="E18" s="83">
        <f>E16*I18</f>
        <v>67960.19407894737</v>
      </c>
      <c r="F18" s="83">
        <f t="shared" si="0"/>
        <v>70755.1752631579</v>
      </c>
      <c r="G18" s="84">
        <f>D18-E18</f>
        <v>2794.9811842105264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70755.1752631579</v>
      </c>
      <c r="E19" s="83">
        <f>E16*I19</f>
        <v>67960.19407894737</v>
      </c>
      <c r="F19" s="83">
        <f t="shared" si="0"/>
        <v>70755.1752631579</v>
      </c>
      <c r="G19" s="84">
        <f>D19-E19</f>
        <v>2794.9811842105264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127275.58153846156</v>
      </c>
      <c r="E20" s="83">
        <f>E16*I20</f>
        <v>122247.92307692308</v>
      </c>
      <c r="F20" s="83">
        <f t="shared" si="0"/>
        <v>127275.58153846156</v>
      </c>
      <c r="G20" s="84">
        <f>D20-E20</f>
        <v>5027.658461538478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230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212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1.86</v>
      </c>
      <c r="D24" s="87">
        <v>77955.76</v>
      </c>
      <c r="E24" s="87">
        <v>74880.6</v>
      </c>
      <c r="F24" s="87">
        <f>F38</f>
        <v>94974.626</v>
      </c>
      <c r="G24" s="77">
        <f t="shared" si="1"/>
        <v>3075.159999999989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>
        <v>0</v>
      </c>
      <c r="D25" s="90">
        <v>0</v>
      </c>
      <c r="E25" s="90">
        <v>0</v>
      </c>
      <c r="F25" s="90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1864793.0499999998</v>
      </c>
      <c r="E26" s="77">
        <f>SUM(E27:E30)</f>
        <v>1801710.85</v>
      </c>
      <c r="F26" s="77">
        <f>SUM(F27:F30)</f>
        <v>1864793.0499999998</v>
      </c>
      <c r="G26" s="77">
        <f t="shared" si="1"/>
        <v>63082.19999999972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52891.2</v>
      </c>
      <c r="E27" s="84">
        <v>50791.49</v>
      </c>
      <c r="F27" s="84">
        <f>D27</f>
        <v>52891.2</v>
      </c>
      <c r="G27" s="84">
        <f t="shared" si="1"/>
        <v>2099.709999999999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523412.97</v>
      </c>
      <c r="E28" s="84">
        <v>509755.75</v>
      </c>
      <c r="F28" s="84">
        <f>D28</f>
        <v>523412.97</v>
      </c>
      <c r="G28" s="84">
        <f t="shared" si="1"/>
        <v>13657.219999999972</v>
      </c>
    </row>
    <row r="29" spans="1:7" ht="15">
      <c r="A29" s="34" t="s">
        <v>42</v>
      </c>
      <c r="B29" s="34" t="s">
        <v>143</v>
      </c>
      <c r="C29" s="294"/>
      <c r="D29" s="216">
        <v>0</v>
      </c>
      <c r="E29" s="216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1288488.88</v>
      </c>
      <c r="E30" s="84">
        <v>1241163.61</v>
      </c>
      <c r="F30" s="84">
        <f>D30</f>
        <v>1288488.88</v>
      </c>
      <c r="G30" s="84">
        <f t="shared" si="1"/>
        <v>47325.269999999786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469323.31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-11258.25049999998</v>
      </c>
      <c r="H34" s="62"/>
      <c r="I34" s="62"/>
    </row>
    <row r="35" spans="1:11" ht="31.5" customHeight="1">
      <c r="A35" s="367" t="s">
        <v>189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394" t="s">
        <v>46</v>
      </c>
      <c r="G37" s="405"/>
      <c r="H37" s="251"/>
      <c r="I37" s="252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411">
        <f>SUM(F39:G47)</f>
        <v>94974.626</v>
      </c>
      <c r="G38" s="404"/>
      <c r="H38" s="253"/>
      <c r="I38" s="254"/>
      <c r="L38" s="116"/>
    </row>
    <row r="39" spans="1:12" ht="15">
      <c r="A39" s="34" t="s">
        <v>16</v>
      </c>
      <c r="B39" s="369" t="s">
        <v>569</v>
      </c>
      <c r="C39" s="371"/>
      <c r="D39" s="119" t="s">
        <v>248</v>
      </c>
      <c r="E39" s="119">
        <v>1</v>
      </c>
      <c r="F39" s="420">
        <v>27063.3</v>
      </c>
      <c r="G39" s="421"/>
      <c r="H39" s="255"/>
      <c r="I39" s="256"/>
      <c r="L39" s="120"/>
    </row>
    <row r="40" spans="1:12" ht="15">
      <c r="A40" s="34" t="s">
        <v>18</v>
      </c>
      <c r="B40" s="369" t="s">
        <v>608</v>
      </c>
      <c r="C40" s="371"/>
      <c r="D40" s="119" t="s">
        <v>241</v>
      </c>
      <c r="E40" s="119">
        <v>0.01</v>
      </c>
      <c r="F40" s="420">
        <v>6107.79</v>
      </c>
      <c r="G40" s="421"/>
      <c r="H40" s="40"/>
      <c r="I40" s="40"/>
      <c r="L40" s="120"/>
    </row>
    <row r="41" spans="1:12" ht="15">
      <c r="A41" s="34" t="s">
        <v>20</v>
      </c>
      <c r="B41" s="369" t="s">
        <v>610</v>
      </c>
      <c r="C41" s="371"/>
      <c r="D41" s="119" t="s">
        <v>241</v>
      </c>
      <c r="E41" s="119">
        <v>0.01</v>
      </c>
      <c r="F41" s="420">
        <v>5890</v>
      </c>
      <c r="G41" s="421"/>
      <c r="H41" s="40"/>
      <c r="I41" s="40"/>
      <c r="L41" s="120"/>
    </row>
    <row r="42" spans="1:12" ht="15">
      <c r="A42" s="34" t="s">
        <v>22</v>
      </c>
      <c r="B42" s="369" t="s">
        <v>716</v>
      </c>
      <c r="C42" s="371"/>
      <c r="D42" s="119" t="s">
        <v>240</v>
      </c>
      <c r="E42" s="119">
        <v>0.01</v>
      </c>
      <c r="F42" s="420">
        <v>2194.73</v>
      </c>
      <c r="G42" s="421"/>
      <c r="H42" s="40"/>
      <c r="I42" s="40"/>
      <c r="L42" s="120"/>
    </row>
    <row r="43" spans="1:12" ht="15">
      <c r="A43" s="34" t="s">
        <v>24</v>
      </c>
      <c r="B43" s="117" t="s">
        <v>747</v>
      </c>
      <c r="C43" s="118"/>
      <c r="D43" s="119" t="s">
        <v>248</v>
      </c>
      <c r="E43" s="119">
        <v>1</v>
      </c>
      <c r="F43" s="420">
        <v>670</v>
      </c>
      <c r="G43" s="421"/>
      <c r="H43" s="40"/>
      <c r="I43" s="40"/>
      <c r="L43" s="120"/>
    </row>
    <row r="44" spans="1:12" ht="15">
      <c r="A44" s="34" t="s">
        <v>106</v>
      </c>
      <c r="B44" s="369" t="s">
        <v>748</v>
      </c>
      <c r="C44" s="371"/>
      <c r="D44" s="119" t="s">
        <v>248</v>
      </c>
      <c r="E44" s="119">
        <v>3</v>
      </c>
      <c r="F44" s="420">
        <v>6300</v>
      </c>
      <c r="G44" s="421"/>
      <c r="H44" s="40"/>
      <c r="I44" s="40"/>
      <c r="L44" s="120"/>
    </row>
    <row r="45" spans="1:12" ht="15">
      <c r="A45" s="34" t="s">
        <v>107</v>
      </c>
      <c r="B45" s="369" t="s">
        <v>793</v>
      </c>
      <c r="C45" s="371"/>
      <c r="D45" s="119"/>
      <c r="E45" s="119"/>
      <c r="F45" s="420">
        <v>24000</v>
      </c>
      <c r="G45" s="421"/>
      <c r="H45" s="40"/>
      <c r="I45" s="40"/>
      <c r="L45" s="120"/>
    </row>
    <row r="46" spans="1:12" ht="15">
      <c r="A46" s="34" t="s">
        <v>120</v>
      </c>
      <c r="B46" s="369" t="s">
        <v>792</v>
      </c>
      <c r="C46" s="371"/>
      <c r="D46" s="119" t="s">
        <v>248</v>
      </c>
      <c r="E46" s="119">
        <v>2</v>
      </c>
      <c r="F46" s="420">
        <v>22000</v>
      </c>
      <c r="G46" s="421"/>
      <c r="H46" s="40"/>
      <c r="I46" s="40"/>
      <c r="L46" s="120"/>
    </row>
    <row r="47" spans="1:11" s="67" customFormat="1" ht="15">
      <c r="A47" s="34" t="s">
        <v>121</v>
      </c>
      <c r="B47" s="408" t="s">
        <v>198</v>
      </c>
      <c r="C47" s="409"/>
      <c r="D47" s="125"/>
      <c r="E47" s="125"/>
      <c r="F47" s="410">
        <f>E24*1%</f>
        <v>748.806</v>
      </c>
      <c r="G47" s="410"/>
      <c r="H47" s="59"/>
      <c r="I47" s="59"/>
      <c r="J47" s="59"/>
      <c r="K47" s="59"/>
    </row>
    <row r="48" s="59" customFormat="1" ht="9" customHeight="1"/>
    <row r="49" spans="1:11" s="59" customFormat="1" ht="15">
      <c r="A49" s="67" t="s">
        <v>55</v>
      </c>
      <c r="B49" s="67"/>
      <c r="C49" s="127" t="s">
        <v>49</v>
      </c>
      <c r="D49" s="67"/>
      <c r="E49" s="67"/>
      <c r="F49" s="67" t="s">
        <v>93</v>
      </c>
      <c r="G49" s="67"/>
      <c r="H49" s="67"/>
      <c r="I49" s="67"/>
      <c r="J49" s="67"/>
      <c r="K49" s="67"/>
    </row>
    <row r="50" spans="1:7" s="59" customFormat="1" ht="15">
      <c r="A50" s="67"/>
      <c r="B50" s="67"/>
      <c r="C50" s="127"/>
      <c r="D50" s="67"/>
      <c r="E50" s="67"/>
      <c r="F50" s="128" t="s">
        <v>516</v>
      </c>
      <c r="G50" s="67"/>
    </row>
    <row r="51" spans="1:10" s="59" customFormat="1" ht="15">
      <c r="A51" s="67" t="s">
        <v>50</v>
      </c>
      <c r="B51" s="67"/>
      <c r="C51" s="127"/>
      <c r="D51" s="67"/>
      <c r="E51" s="67"/>
      <c r="F51" s="67"/>
      <c r="G51" s="67"/>
      <c r="H51" s="158"/>
      <c r="I51" s="158"/>
      <c r="J51" s="158"/>
    </row>
    <row r="52" spans="1:11" ht="15">
      <c r="A52" s="67"/>
      <c r="B52" s="67"/>
      <c r="C52" s="129" t="s">
        <v>51</v>
      </c>
      <c r="D52" s="67"/>
      <c r="E52" s="130"/>
      <c r="F52" s="130"/>
      <c r="G52" s="130"/>
      <c r="H52" s="59"/>
      <c r="I52" s="59"/>
      <c r="J52" s="59"/>
      <c r="K52" s="59"/>
    </row>
    <row r="53" spans="1:11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</row>
  </sheetData>
  <sheetProtection/>
  <mergeCells count="30">
    <mergeCell ref="F39:G39"/>
    <mergeCell ref="B40:C40"/>
    <mergeCell ref="F40:G40"/>
    <mergeCell ref="A11:K11"/>
    <mergeCell ref="A32:C32"/>
    <mergeCell ref="B37:C37"/>
    <mergeCell ref="F37:G37"/>
    <mergeCell ref="A1:K1"/>
    <mergeCell ref="A2:K2"/>
    <mergeCell ref="A3:K3"/>
    <mergeCell ref="A5:K5"/>
    <mergeCell ref="A9:K9"/>
    <mergeCell ref="A35:K35"/>
    <mergeCell ref="A10:K10"/>
    <mergeCell ref="B41:C41"/>
    <mergeCell ref="F41:G41"/>
    <mergeCell ref="B47:C47"/>
    <mergeCell ref="F47:G47"/>
    <mergeCell ref="B38:C38"/>
    <mergeCell ref="F38:G38"/>
    <mergeCell ref="B39:C39"/>
    <mergeCell ref="B45:C45"/>
    <mergeCell ref="B46:C46"/>
    <mergeCell ref="F45:G45"/>
    <mergeCell ref="F46:G46"/>
    <mergeCell ref="F43:G43"/>
    <mergeCell ref="B42:C42"/>
    <mergeCell ref="F42:G42"/>
    <mergeCell ref="B44:C44"/>
    <mergeCell ref="F44:G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"/>
  <sheetViews>
    <sheetView zoomScalePageLayoutView="0" workbookViewId="0" topLeftCell="A19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11.421875" style="57" bestFit="1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235</v>
      </c>
      <c r="H7" s="60"/>
    </row>
    <row r="8" spans="1:10" s="59" customFormat="1" ht="12.75">
      <c r="A8" s="59" t="s">
        <v>3</v>
      </c>
      <c r="F8" s="310" t="s">
        <v>467</v>
      </c>
      <c r="H8" s="60">
        <f>152.2+199.4</f>
        <v>351.6</v>
      </c>
      <c r="I8" s="59">
        <v>5630.5</v>
      </c>
      <c r="J8" s="59">
        <f>H8+I8</f>
        <v>5982.1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'[1]Плеханова 2 к.2'!$G$35</f>
        <v>-209637.65909999996</v>
      </c>
      <c r="H13" s="62"/>
      <c r="I13" s="62"/>
    </row>
    <row r="14" s="59" customFormat="1" ht="6.75" customHeight="1"/>
    <row r="15" spans="1:10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  <c r="J15" s="74">
        <f>D16/12/C16</f>
        <v>5875.133922724296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10.18</v>
      </c>
      <c r="D16" s="76">
        <v>717706.36</v>
      </c>
      <c r="E16" s="76">
        <v>583917.62</v>
      </c>
      <c r="F16" s="76">
        <f aca="true" t="shared" si="0" ref="F16:F22">D16</f>
        <v>717706.36</v>
      </c>
      <c r="G16" s="77">
        <f>D16-E16</f>
        <v>133788.74</v>
      </c>
      <c r="H16" s="78">
        <f>C16</f>
        <v>10.18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243935.56047151278</v>
      </c>
      <c r="E17" s="83">
        <f>E16*I17</f>
        <v>198463.15964636544</v>
      </c>
      <c r="F17" s="83">
        <f t="shared" si="0"/>
        <v>243935.56047151278</v>
      </c>
      <c r="G17" s="84">
        <f>D17-E17</f>
        <v>45472.40082514734</v>
      </c>
      <c r="H17" s="78">
        <f>C17</f>
        <v>3.46</v>
      </c>
      <c r="I17" s="59">
        <f>H17/H16</f>
        <v>0.33988212180746563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119147.71595284872</v>
      </c>
      <c r="E18" s="83">
        <f>E16*I18</f>
        <v>96937.20803536345</v>
      </c>
      <c r="F18" s="83">
        <f t="shared" si="0"/>
        <v>119147.71595284872</v>
      </c>
      <c r="G18" s="84">
        <f>D18-E18</f>
        <v>22210.507917485273</v>
      </c>
      <c r="H18" s="78">
        <f>C18</f>
        <v>1.69</v>
      </c>
      <c r="I18" s="59">
        <f>H18/H16</f>
        <v>0.16601178781925344</v>
      </c>
    </row>
    <row r="19" spans="1:9" s="59" customFormat="1" ht="15">
      <c r="A19" s="81" t="s">
        <v>20</v>
      </c>
      <c r="B19" s="34" t="s">
        <v>21</v>
      </c>
      <c r="C19" s="82">
        <v>1.99</v>
      </c>
      <c r="D19" s="83">
        <f>D16*I19</f>
        <v>140298.1980746562</v>
      </c>
      <c r="E19" s="83">
        <f>E16*I19</f>
        <v>114144.99644400786</v>
      </c>
      <c r="F19" s="83">
        <f t="shared" si="0"/>
        <v>140298.1980746562</v>
      </c>
      <c r="G19" s="84">
        <f>D19-E19</f>
        <v>26153.201630648327</v>
      </c>
      <c r="H19" s="78">
        <f>C19</f>
        <v>1.99</v>
      </c>
      <c r="I19" s="59">
        <f>H19/H16</f>
        <v>0.19548133595284872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214324.88550098232</v>
      </c>
      <c r="E20" s="83">
        <f>E16*I20</f>
        <v>174372.25587426327</v>
      </c>
      <c r="F20" s="83">
        <f t="shared" si="0"/>
        <v>214324.88550098232</v>
      </c>
      <c r="G20" s="84">
        <f>D20-E20</f>
        <v>39952.62962671905</v>
      </c>
      <c r="H20" s="78">
        <f>C20</f>
        <v>3.04</v>
      </c>
      <c r="I20" s="59">
        <f>H20/H16</f>
        <v>0.29862475442043224</v>
      </c>
    </row>
    <row r="21" spans="1:11" s="89" customFormat="1" ht="14.25">
      <c r="A21" s="86" t="s">
        <v>25</v>
      </c>
      <c r="B21" s="86" t="s">
        <v>230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212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3.86</v>
      </c>
      <c r="D23" s="87">
        <v>271653.05</v>
      </c>
      <c r="E23" s="87">
        <v>221318.6</v>
      </c>
      <c r="F23" s="87">
        <v>0</v>
      </c>
      <c r="G23" s="77">
        <f t="shared" si="1"/>
        <v>50334.44999999998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2.06</v>
      </c>
      <c r="D24" s="87">
        <v>145094.85</v>
      </c>
      <c r="E24" s="87">
        <v>118234.95</v>
      </c>
      <c r="F24" s="87">
        <f>F38</f>
        <v>203874.7895</v>
      </c>
      <c r="G24" s="77">
        <f t="shared" si="1"/>
        <v>26859.90000000001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4015418.5100000002</v>
      </c>
      <c r="E26" s="77">
        <f>SUM(E27:E30)</f>
        <v>3414380.26</v>
      </c>
      <c r="F26" s="77">
        <f>SUM(F27:F30)</f>
        <v>4015418.5100000002</v>
      </c>
      <c r="G26" s="77">
        <f t="shared" si="1"/>
        <v>601038.2500000005</v>
      </c>
      <c r="H26" s="98"/>
      <c r="I26" s="98"/>
      <c r="J26" s="98"/>
      <c r="K26" s="98"/>
    </row>
    <row r="27" spans="1:7" ht="15">
      <c r="A27" s="34" t="s">
        <v>37</v>
      </c>
      <c r="B27" s="34" t="s">
        <v>285</v>
      </c>
      <c r="C27" s="301" t="s">
        <v>413</v>
      </c>
      <c r="D27" s="84">
        <v>1226211.35</v>
      </c>
      <c r="E27" s="84">
        <v>1039802.13</v>
      </c>
      <c r="F27" s="84">
        <f>D27</f>
        <v>1226211.35</v>
      </c>
      <c r="G27" s="84">
        <f t="shared" si="1"/>
        <v>186409.2200000001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582304.29</v>
      </c>
      <c r="E28" s="84">
        <v>517001.27</v>
      </c>
      <c r="F28" s="84">
        <f>D28</f>
        <v>582304.29</v>
      </c>
      <c r="G28" s="84">
        <f t="shared" si="1"/>
        <v>65303.02000000002</v>
      </c>
    </row>
    <row r="29" spans="1:7" ht="15">
      <c r="A29" s="34" t="s">
        <v>42</v>
      </c>
      <c r="B29" s="34" t="s">
        <v>143</v>
      </c>
      <c r="C29" s="294" t="s">
        <v>381</v>
      </c>
      <c r="D29" s="84">
        <v>86120.25</v>
      </c>
      <c r="E29" s="84">
        <v>69589.45</v>
      </c>
      <c r="F29" s="84">
        <f>D29</f>
        <v>86120.25</v>
      </c>
      <c r="G29" s="84">
        <f t="shared" si="1"/>
        <v>16530.800000000003</v>
      </c>
    </row>
    <row r="30" spans="1:7" ht="15">
      <c r="A30" s="34" t="s">
        <v>41</v>
      </c>
      <c r="B30" s="34" t="s">
        <v>43</v>
      </c>
      <c r="C30" s="293" t="s">
        <v>380</v>
      </c>
      <c r="D30" s="84">
        <v>2120782.62</v>
      </c>
      <c r="E30" s="84">
        <v>1787987.41</v>
      </c>
      <c r="F30" s="84">
        <f>D30</f>
        <v>2120782.62</v>
      </c>
      <c r="G30" s="84">
        <f t="shared" si="1"/>
        <v>332795.2100000002</v>
      </c>
    </row>
    <row r="31" spans="1:9" s="102" customFormat="1" ht="21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3330869.14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1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-295277.4986</v>
      </c>
      <c r="H34" s="62"/>
      <c r="I34" s="62"/>
      <c r="K34" s="147"/>
    </row>
    <row r="35" spans="1:11" ht="31.5" customHeight="1">
      <c r="A35" s="509" t="s">
        <v>189</v>
      </c>
      <c r="B35" s="510"/>
      <c r="C35" s="510"/>
      <c r="D35" s="510"/>
      <c r="E35" s="510"/>
      <c r="F35" s="510"/>
      <c r="G35" s="510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394" t="s">
        <v>45</v>
      </c>
      <c r="C37" s="405"/>
      <c r="D37" s="105" t="s">
        <v>170</v>
      </c>
      <c r="E37" s="105" t="s">
        <v>169</v>
      </c>
      <c r="F37" s="497" t="s">
        <v>46</v>
      </c>
      <c r="G37" s="497"/>
      <c r="H37" s="106"/>
      <c r="I37" s="107"/>
      <c r="L37" s="108"/>
    </row>
    <row r="38" spans="1:12" s="115" customFormat="1" ht="15" customHeight="1">
      <c r="A38" s="109" t="s">
        <v>47</v>
      </c>
      <c r="B38" s="396" t="s">
        <v>114</v>
      </c>
      <c r="C38" s="399"/>
      <c r="D38" s="111"/>
      <c r="E38" s="111"/>
      <c r="F38" s="507">
        <f>SUM(F39:G43)</f>
        <v>203874.7895</v>
      </c>
      <c r="G38" s="508"/>
      <c r="H38" s="113"/>
      <c r="I38" s="114"/>
      <c r="L38" s="116"/>
    </row>
    <row r="39" spans="1:12" ht="15">
      <c r="A39" s="34" t="s">
        <v>16</v>
      </c>
      <c r="B39" s="369" t="s">
        <v>717</v>
      </c>
      <c r="C39" s="371"/>
      <c r="D39" s="119" t="s">
        <v>248</v>
      </c>
      <c r="E39" s="119">
        <v>1</v>
      </c>
      <c r="F39" s="410">
        <v>690</v>
      </c>
      <c r="G39" s="410"/>
      <c r="H39" s="40"/>
      <c r="I39" s="40"/>
      <c r="L39" s="120"/>
    </row>
    <row r="40" spans="1:12" ht="15">
      <c r="A40" s="34" t="s">
        <v>18</v>
      </c>
      <c r="B40" s="369" t="s">
        <v>638</v>
      </c>
      <c r="C40" s="371"/>
      <c r="D40" s="119" t="s">
        <v>240</v>
      </c>
      <c r="E40" s="119">
        <v>0.18</v>
      </c>
      <c r="F40" s="410">
        <v>43915.88</v>
      </c>
      <c r="G40" s="410"/>
      <c r="H40" s="40"/>
      <c r="I40" s="40"/>
      <c r="L40" s="120"/>
    </row>
    <row r="41" spans="1:12" ht="15">
      <c r="A41" s="34" t="s">
        <v>20</v>
      </c>
      <c r="B41" s="369" t="s">
        <v>742</v>
      </c>
      <c r="C41" s="371"/>
      <c r="D41" s="119" t="s">
        <v>240</v>
      </c>
      <c r="E41" s="119">
        <v>1</v>
      </c>
      <c r="F41" s="410">
        <v>153994.56</v>
      </c>
      <c r="G41" s="410"/>
      <c r="H41" s="40"/>
      <c r="I41" s="40"/>
      <c r="L41" s="120"/>
    </row>
    <row r="42" spans="1:12" ht="15">
      <c r="A42" s="34" t="s">
        <v>22</v>
      </c>
      <c r="B42" s="369" t="s">
        <v>790</v>
      </c>
      <c r="C42" s="371"/>
      <c r="D42" s="119"/>
      <c r="E42" s="119"/>
      <c r="F42" s="410">
        <v>4092</v>
      </c>
      <c r="G42" s="410"/>
      <c r="H42" s="40"/>
      <c r="I42" s="40"/>
      <c r="L42" s="120"/>
    </row>
    <row r="43" spans="1:11" s="67" customFormat="1" ht="15">
      <c r="A43" s="34" t="s">
        <v>24</v>
      </c>
      <c r="B43" s="408" t="s">
        <v>198</v>
      </c>
      <c r="C43" s="409"/>
      <c r="D43" s="125"/>
      <c r="E43" s="125"/>
      <c r="F43" s="410">
        <f>E24*1%</f>
        <v>1182.3495</v>
      </c>
      <c r="G43" s="410"/>
      <c r="H43" s="59"/>
      <c r="I43" s="59"/>
      <c r="J43" s="59"/>
      <c r="K43" s="59"/>
    </row>
    <row r="44" s="59" customFormat="1" ht="9" customHeight="1"/>
    <row r="45" spans="1:11" s="59" customFormat="1" ht="15">
      <c r="A45" s="67" t="s">
        <v>55</v>
      </c>
      <c r="B45" s="67"/>
      <c r="C45" s="127" t="s">
        <v>49</v>
      </c>
      <c r="D45" s="67"/>
      <c r="E45" s="67"/>
      <c r="F45" s="67" t="s">
        <v>93</v>
      </c>
      <c r="G45" s="67"/>
      <c r="H45" s="67"/>
      <c r="I45" s="67"/>
      <c r="J45" s="67"/>
      <c r="K45" s="67"/>
    </row>
    <row r="46" spans="1:7" s="59" customFormat="1" ht="15">
      <c r="A46" s="67"/>
      <c r="B46" s="67"/>
      <c r="C46" s="127"/>
      <c r="D46" s="67"/>
      <c r="E46" s="67"/>
      <c r="F46" s="128" t="s">
        <v>516</v>
      </c>
      <c r="G46" s="67"/>
    </row>
    <row r="47" spans="1:10" s="59" customFormat="1" ht="15">
      <c r="A47" s="67" t="s">
        <v>50</v>
      </c>
      <c r="B47" s="67"/>
      <c r="C47" s="127"/>
      <c r="D47" s="67"/>
      <c r="E47" s="67"/>
      <c r="F47" s="67"/>
      <c r="G47" s="67"/>
      <c r="H47" s="158"/>
      <c r="I47" s="158"/>
      <c r="J47" s="158"/>
    </row>
    <row r="48" spans="1:11" ht="15">
      <c r="A48" s="67"/>
      <c r="B48" s="67"/>
      <c r="C48" s="129" t="s">
        <v>51</v>
      </c>
      <c r="D48" s="67"/>
      <c r="E48" s="130"/>
      <c r="F48" s="130"/>
      <c r="G48" s="130"/>
      <c r="H48" s="59"/>
      <c r="I48" s="59"/>
      <c r="J48" s="59"/>
      <c r="K48" s="59"/>
    </row>
    <row r="49" spans="1:11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</sheetData>
  <sheetProtection/>
  <mergeCells count="24">
    <mergeCell ref="A1:K1"/>
    <mergeCell ref="A2:K2"/>
    <mergeCell ref="A3:K3"/>
    <mergeCell ref="A5:K5"/>
    <mergeCell ref="A9:K9"/>
    <mergeCell ref="A10:K10"/>
    <mergeCell ref="B41:C41"/>
    <mergeCell ref="F41:G41"/>
    <mergeCell ref="A11:K11"/>
    <mergeCell ref="A32:C32"/>
    <mergeCell ref="B37:C37"/>
    <mergeCell ref="F37:G37"/>
    <mergeCell ref="A35:G35"/>
    <mergeCell ref="A31:F31"/>
    <mergeCell ref="B42:C42"/>
    <mergeCell ref="F42:G42"/>
    <mergeCell ref="B43:C43"/>
    <mergeCell ref="F43:G43"/>
    <mergeCell ref="B38:C38"/>
    <mergeCell ref="F38:G38"/>
    <mergeCell ref="B39:C39"/>
    <mergeCell ref="F39:G39"/>
    <mergeCell ref="B40:C40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7030A0"/>
  </sheetPr>
  <dimension ref="A1:N67"/>
  <sheetViews>
    <sheetView zoomScalePageLayoutView="0" workbookViewId="0" topLeftCell="A25">
      <selection activeCell="G36" sqref="G36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10" s="59" customFormat="1" ht="16.5" customHeight="1">
      <c r="A7" s="59" t="s">
        <v>2</v>
      </c>
      <c r="F7" s="60" t="s">
        <v>292</v>
      </c>
      <c r="H7" s="312">
        <v>22470.7</v>
      </c>
      <c r="I7" s="313">
        <f>149.8</f>
        <v>149.8</v>
      </c>
      <c r="J7" s="59">
        <f>H7+I7</f>
        <v>22620.5</v>
      </c>
    </row>
    <row r="8" spans="1:8" s="59" customFormat="1" ht="12.75">
      <c r="A8" s="59" t="s">
        <v>3</v>
      </c>
      <c r="F8" s="310" t="s">
        <v>491</v>
      </c>
      <c r="H8" s="60"/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468</v>
      </c>
      <c r="B13" s="64"/>
      <c r="C13" s="64"/>
      <c r="D13" s="69"/>
      <c r="E13" s="70"/>
      <c r="F13" s="70"/>
      <c r="G13" s="65">
        <f>'[1]65 лет Победы 29'!$G$37</f>
        <v>117093.10750000001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C17+C18+C19+C20+C21</f>
        <v>12.69</v>
      </c>
      <c r="D16" s="76">
        <v>3461527.87</v>
      </c>
      <c r="E16" s="76">
        <v>3183941.83</v>
      </c>
      <c r="F16" s="76">
        <f aca="true" t="shared" si="0" ref="F16:F23">D16</f>
        <v>3461527.87</v>
      </c>
      <c r="G16" s="77">
        <f aca="true" t="shared" si="1" ref="G16:G21">D16-E16</f>
        <v>277586.04000000004</v>
      </c>
      <c r="H16" s="78">
        <f aca="true" t="shared" si="2" ref="H16:H21">C16</f>
        <v>12.69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943805.0772419228</v>
      </c>
      <c r="E17" s="83">
        <f>E16*I17</f>
        <v>868119.6794168637</v>
      </c>
      <c r="F17" s="83">
        <f t="shared" si="0"/>
        <v>943805.0772419228</v>
      </c>
      <c r="G17" s="84">
        <f t="shared" si="1"/>
        <v>75685.39782505913</v>
      </c>
      <c r="H17" s="78">
        <f t="shared" si="2"/>
        <v>3.46</v>
      </c>
      <c r="I17" s="59">
        <f>H17/H16</f>
        <v>0.272655634357762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460991.49726556346</v>
      </c>
      <c r="E18" s="83">
        <f>E16*I18</f>
        <v>424023.7740504334</v>
      </c>
      <c r="F18" s="83">
        <f t="shared" si="0"/>
        <v>460991.49726556346</v>
      </c>
      <c r="G18" s="84">
        <f t="shared" si="1"/>
        <v>36967.72321513004</v>
      </c>
      <c r="H18" s="78">
        <f t="shared" si="2"/>
        <v>1.69</v>
      </c>
      <c r="I18" s="59">
        <f>H18/H16</f>
        <v>0.13317572892040977</v>
      </c>
    </row>
    <row r="19" spans="1:9" s="59" customFormat="1" ht="15">
      <c r="A19" s="81" t="s">
        <v>20</v>
      </c>
      <c r="B19" s="34" t="s">
        <v>21</v>
      </c>
      <c r="C19" s="82">
        <v>1.99</v>
      </c>
      <c r="D19" s="83">
        <f>D16*I19</f>
        <v>542824.3074310481</v>
      </c>
      <c r="E19" s="83">
        <f>E16*I19</f>
        <v>499294.2664854216</v>
      </c>
      <c r="F19" s="83">
        <f t="shared" si="0"/>
        <v>542824.3074310481</v>
      </c>
      <c r="G19" s="84">
        <f t="shared" si="1"/>
        <v>43530.040945626504</v>
      </c>
      <c r="H19" s="78">
        <f t="shared" si="2"/>
        <v>1.99</v>
      </c>
      <c r="I19" s="59">
        <f>H19/H16</f>
        <v>0.15681639085894405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829239.1430102444</v>
      </c>
      <c r="E20" s="83">
        <f>E16*I20</f>
        <v>762740.9900078803</v>
      </c>
      <c r="F20" s="83">
        <f t="shared" si="0"/>
        <v>829239.1430102444</v>
      </c>
      <c r="G20" s="84">
        <f t="shared" si="1"/>
        <v>66498.1530023641</v>
      </c>
      <c r="H20" s="78">
        <f t="shared" si="2"/>
        <v>3.04</v>
      </c>
      <c r="I20" s="59">
        <f>H20/H16</f>
        <v>0.23955870764381404</v>
      </c>
    </row>
    <row r="21" spans="1:9" s="59" customFormat="1" ht="15">
      <c r="A21" s="81" t="s">
        <v>24</v>
      </c>
      <c r="B21" s="34" t="s">
        <v>148</v>
      </c>
      <c r="C21" s="82">
        <v>2.51</v>
      </c>
      <c r="D21" s="83">
        <f>D17*I21</f>
        <v>684667.8450512214</v>
      </c>
      <c r="E21" s="83">
        <f>E17*I21</f>
        <v>629763.1200394011</v>
      </c>
      <c r="F21" s="83">
        <f>D21</f>
        <v>684667.8450512214</v>
      </c>
      <c r="G21" s="84">
        <f t="shared" si="1"/>
        <v>54904.72501182032</v>
      </c>
      <c r="H21" s="78">
        <f t="shared" si="2"/>
        <v>2.51</v>
      </c>
      <c r="I21" s="59">
        <f>H21/H17</f>
        <v>0.7254335260115606</v>
      </c>
    </row>
    <row r="22" spans="1:11" s="89" customFormat="1" ht="14.25">
      <c r="A22" s="86" t="s">
        <v>25</v>
      </c>
      <c r="B22" s="86" t="s">
        <v>230</v>
      </c>
      <c r="C22" s="46">
        <v>0</v>
      </c>
      <c r="D22" s="87">
        <v>385.78</v>
      </c>
      <c r="E22" s="87">
        <v>836.16</v>
      </c>
      <c r="F22" s="87">
        <f>D22</f>
        <v>385.78</v>
      </c>
      <c r="G22" s="77">
        <f aca="true" t="shared" si="3" ref="G22:G32">D22-E22</f>
        <v>-450.38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212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26</v>
      </c>
      <c r="C24" s="46">
        <v>3.86</v>
      </c>
      <c r="D24" s="87">
        <v>985580.11</v>
      </c>
      <c r="E24" s="87">
        <v>917632.58</v>
      </c>
      <c r="F24" s="87">
        <f>D24</f>
        <v>985580.11</v>
      </c>
      <c r="G24" s="77">
        <f t="shared" si="3"/>
        <v>67947.53000000003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119</v>
      </c>
      <c r="C25" s="95">
        <v>2.06</v>
      </c>
      <c r="D25" s="87">
        <v>554591.85</v>
      </c>
      <c r="E25" s="87">
        <v>517017.7</v>
      </c>
      <c r="F25" s="87">
        <f>F43</f>
        <v>952866.287</v>
      </c>
      <c r="G25" s="77">
        <f t="shared" si="3"/>
        <v>37574.149999999965</v>
      </c>
      <c r="H25" s="88"/>
      <c r="I25" s="88"/>
      <c r="J25" s="88"/>
      <c r="K25" s="88"/>
    </row>
    <row r="26" spans="1:11" ht="14.25">
      <c r="A26" s="41" t="s">
        <v>33</v>
      </c>
      <c r="B26" s="41" t="s">
        <v>168</v>
      </c>
      <c r="C26" s="97" t="s">
        <v>395</v>
      </c>
      <c r="D26" s="90">
        <v>0</v>
      </c>
      <c r="E26" s="90">
        <v>0</v>
      </c>
      <c r="F26" s="90">
        <f>D26</f>
        <v>0</v>
      </c>
      <c r="G26" s="77">
        <f t="shared" si="3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195</v>
      </c>
      <c r="C27" s="97">
        <v>1.32</v>
      </c>
      <c r="D27" s="77">
        <v>362078.36</v>
      </c>
      <c r="E27" s="77">
        <v>338351.41</v>
      </c>
      <c r="F27" s="90">
        <f>F59</f>
        <v>336150</v>
      </c>
      <c r="G27" s="77">
        <f t="shared" si="3"/>
        <v>23726.95000000001</v>
      </c>
      <c r="H27" s="98"/>
      <c r="I27" s="98"/>
      <c r="J27" s="98"/>
      <c r="K27" s="98"/>
    </row>
    <row r="28" spans="1:11" ht="14.25">
      <c r="A28" s="41" t="s">
        <v>211</v>
      </c>
      <c r="B28" s="41" t="s">
        <v>36</v>
      </c>
      <c r="C28" s="97"/>
      <c r="D28" s="77">
        <f>SUM(D29:D32)</f>
        <v>3353644.48</v>
      </c>
      <c r="E28" s="77">
        <f>SUM(E29:E32)</f>
        <v>3173522.77</v>
      </c>
      <c r="F28" s="77">
        <f>SUM(F29:F32)</f>
        <v>2336547.69</v>
      </c>
      <c r="G28" s="77">
        <f t="shared" si="3"/>
        <v>180121.70999999996</v>
      </c>
      <c r="H28" s="98"/>
      <c r="I28" s="98"/>
      <c r="J28" s="98"/>
      <c r="K28" s="98"/>
    </row>
    <row r="29" spans="1:7" ht="15">
      <c r="A29" s="34" t="s">
        <v>213</v>
      </c>
      <c r="B29" s="34" t="s">
        <v>172</v>
      </c>
      <c r="C29" s="301" t="s">
        <v>413</v>
      </c>
      <c r="D29" s="84">
        <v>1105360.69</v>
      </c>
      <c r="E29" s="84">
        <v>1006560.52</v>
      </c>
      <c r="F29" s="84">
        <v>88263.9</v>
      </c>
      <c r="G29" s="84">
        <f t="shared" si="3"/>
        <v>98800.16999999993</v>
      </c>
    </row>
    <row r="30" spans="1:7" ht="15">
      <c r="A30" s="34" t="s">
        <v>214</v>
      </c>
      <c r="B30" s="34" t="s">
        <v>142</v>
      </c>
      <c r="C30" s="293" t="s">
        <v>382</v>
      </c>
      <c r="D30" s="84">
        <v>1470445.37</v>
      </c>
      <c r="E30" s="84">
        <v>1449445.5</v>
      </c>
      <c r="F30" s="84">
        <f>D30</f>
        <v>1470445.37</v>
      </c>
      <c r="G30" s="84">
        <f t="shared" si="3"/>
        <v>20999.87000000011</v>
      </c>
    </row>
    <row r="31" spans="1:7" ht="15">
      <c r="A31" s="34" t="s">
        <v>215</v>
      </c>
      <c r="B31" s="51" t="s">
        <v>143</v>
      </c>
      <c r="C31" s="293" t="s">
        <v>382</v>
      </c>
      <c r="D31" s="84">
        <v>777838.42</v>
      </c>
      <c r="E31" s="84">
        <v>717516.75</v>
      </c>
      <c r="F31" s="84">
        <f>D31</f>
        <v>777838.42</v>
      </c>
      <c r="G31" s="84">
        <f t="shared" si="3"/>
        <v>60321.67000000004</v>
      </c>
    </row>
    <row r="32" spans="1:7" s="279" customFormat="1" ht="15">
      <c r="A32" s="274" t="s">
        <v>216</v>
      </c>
      <c r="B32" s="274" t="s">
        <v>43</v>
      </c>
      <c r="C32" s="145">
        <v>0</v>
      </c>
      <c r="D32" s="216">
        <v>0</v>
      </c>
      <c r="E32" s="216">
        <v>0</v>
      </c>
      <c r="F32" s="216">
        <f>D32</f>
        <v>0</v>
      </c>
      <c r="G32" s="84">
        <f t="shared" si="3"/>
        <v>0</v>
      </c>
    </row>
    <row r="33" spans="1:9" s="102" customFormat="1" ht="21" customHeight="1" thickBot="1">
      <c r="A33" s="363" t="s">
        <v>378</v>
      </c>
      <c r="B33" s="364"/>
      <c r="C33" s="364"/>
      <c r="D33" s="365"/>
      <c r="E33" s="365"/>
      <c r="F33" s="365"/>
      <c r="G33" s="101"/>
      <c r="H33" s="101"/>
      <c r="I33" s="101"/>
    </row>
    <row r="34" spans="1:9" s="67" customFormat="1" ht="15.75" thickBot="1">
      <c r="A34" s="378" t="s">
        <v>383</v>
      </c>
      <c r="B34" s="379"/>
      <c r="C34" s="379"/>
      <c r="D34" s="65">
        <v>2285865.9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387</v>
      </c>
      <c r="B36" s="64"/>
      <c r="C36" s="64"/>
      <c r="D36" s="69"/>
      <c r="E36" s="70"/>
      <c r="F36" s="70"/>
      <c r="G36" s="146">
        <f>G13+E25-F25</f>
        <v>-318755.4795</v>
      </c>
      <c r="H36" s="62"/>
      <c r="I36" s="62"/>
    </row>
    <row r="37" spans="1:9" s="67" customFormat="1" ht="15">
      <c r="A37" s="68" t="s">
        <v>489</v>
      </c>
      <c r="B37" s="68"/>
      <c r="C37" s="68"/>
      <c r="D37" s="40"/>
      <c r="E37" s="66"/>
      <c r="F37" s="66"/>
      <c r="G37" s="40"/>
      <c r="H37" s="62"/>
      <c r="I37" s="62"/>
    </row>
    <row r="38" spans="1:9" s="67" customFormat="1" ht="15">
      <c r="A38" s="429" t="s">
        <v>150</v>
      </c>
      <c r="B38" s="430"/>
      <c r="C38" s="322" t="s">
        <v>151</v>
      </c>
      <c r="D38" s="322" t="s">
        <v>152</v>
      </c>
      <c r="E38" s="323" t="s">
        <v>153</v>
      </c>
      <c r="F38" s="324" t="s">
        <v>154</v>
      </c>
      <c r="G38" s="323" t="s">
        <v>155</v>
      </c>
      <c r="H38" s="62"/>
      <c r="I38" s="62"/>
    </row>
    <row r="39" spans="1:9" s="67" customFormat="1" ht="15">
      <c r="A39" s="431"/>
      <c r="B39" s="432"/>
      <c r="C39" s="302">
        <f>74+90.3</f>
        <v>164.3</v>
      </c>
      <c r="D39" s="325">
        <f>E39/C39/12</f>
        <v>18.419983769527285</v>
      </c>
      <c r="E39" s="327">
        <f>16356.96+19959.88</f>
        <v>36316.84</v>
      </c>
      <c r="F39" s="327">
        <f>20235.7+12943.91</f>
        <v>33179.61</v>
      </c>
      <c r="G39" s="325">
        <f>E39-F39</f>
        <v>3137.229999999996</v>
      </c>
      <c r="H39" s="62"/>
      <c r="I39" s="329">
        <f>74+90.3</f>
        <v>164.3</v>
      </c>
    </row>
    <row r="40" spans="1:11" ht="31.5" customHeight="1">
      <c r="A40" s="434" t="s">
        <v>189</v>
      </c>
      <c r="B40" s="435"/>
      <c r="C40" s="435"/>
      <c r="D40" s="435"/>
      <c r="E40" s="435"/>
      <c r="F40" s="435"/>
      <c r="G40" s="435"/>
      <c r="H40" s="58"/>
      <c r="I40" s="58"/>
      <c r="J40" s="58"/>
      <c r="K40" s="58"/>
    </row>
    <row r="42" spans="1:12" s="74" customFormat="1" ht="37.5" customHeight="1">
      <c r="A42" s="105" t="s">
        <v>11</v>
      </c>
      <c r="B42" s="394" t="s">
        <v>45</v>
      </c>
      <c r="C42" s="405"/>
      <c r="D42" s="105" t="s">
        <v>170</v>
      </c>
      <c r="E42" s="105" t="s">
        <v>169</v>
      </c>
      <c r="F42" s="394" t="s">
        <v>46</v>
      </c>
      <c r="G42" s="405"/>
      <c r="H42" s="251"/>
      <c r="I42" s="252"/>
      <c r="L42" s="108"/>
    </row>
    <row r="43" spans="1:12" s="115" customFormat="1" ht="15" customHeight="1">
      <c r="A43" s="109" t="s">
        <v>47</v>
      </c>
      <c r="B43" s="396" t="s">
        <v>114</v>
      </c>
      <c r="C43" s="399"/>
      <c r="D43" s="111"/>
      <c r="E43" s="111"/>
      <c r="F43" s="411">
        <f>SUM(F44:G58)</f>
        <v>952866.287</v>
      </c>
      <c r="G43" s="404"/>
      <c r="H43" s="253"/>
      <c r="I43" s="254"/>
      <c r="L43" s="116"/>
    </row>
    <row r="44" spans="1:12" ht="15">
      <c r="A44" s="34" t="s">
        <v>16</v>
      </c>
      <c r="B44" s="369" t="s">
        <v>720</v>
      </c>
      <c r="C44" s="371"/>
      <c r="D44" s="119">
        <v>1</v>
      </c>
      <c r="E44" s="119">
        <v>95.12</v>
      </c>
      <c r="F44" s="455">
        <v>5781.85</v>
      </c>
      <c r="G44" s="456"/>
      <c r="H44" s="255"/>
      <c r="I44" s="256"/>
      <c r="L44" s="120"/>
    </row>
    <row r="45" spans="1:12" ht="15">
      <c r="A45" s="34" t="s">
        <v>18</v>
      </c>
      <c r="B45" s="369" t="s">
        <v>718</v>
      </c>
      <c r="C45" s="371"/>
      <c r="D45" s="119" t="s">
        <v>240</v>
      </c>
      <c r="E45" s="119">
        <v>0.18</v>
      </c>
      <c r="F45" s="455">
        <v>50788.99</v>
      </c>
      <c r="G45" s="456"/>
      <c r="H45" s="40"/>
      <c r="I45" s="40"/>
      <c r="L45" s="120"/>
    </row>
    <row r="46" spans="1:12" ht="26.25">
      <c r="A46" s="34" t="s">
        <v>20</v>
      </c>
      <c r="B46" s="369" t="s">
        <v>502</v>
      </c>
      <c r="C46" s="371"/>
      <c r="D46" s="119" t="s">
        <v>254</v>
      </c>
      <c r="E46" s="119"/>
      <c r="F46" s="455">
        <v>5736.65</v>
      </c>
      <c r="G46" s="456"/>
      <c r="H46" s="40"/>
      <c r="I46" s="40"/>
      <c r="L46" s="120"/>
    </row>
    <row r="47" spans="1:12" ht="15">
      <c r="A47" s="34" t="s">
        <v>22</v>
      </c>
      <c r="B47" s="369" t="s">
        <v>528</v>
      </c>
      <c r="C47" s="371"/>
      <c r="D47" s="119" t="s">
        <v>248</v>
      </c>
      <c r="E47" s="119">
        <v>2</v>
      </c>
      <c r="F47" s="455">
        <v>1380</v>
      </c>
      <c r="G47" s="456"/>
      <c r="H47" s="40"/>
      <c r="I47" s="40"/>
      <c r="L47" s="120"/>
    </row>
    <row r="48" spans="1:12" ht="15">
      <c r="A48" s="34" t="s">
        <v>24</v>
      </c>
      <c r="B48" s="369" t="s">
        <v>719</v>
      </c>
      <c r="C48" s="371"/>
      <c r="D48" s="119" t="s">
        <v>171</v>
      </c>
      <c r="E48" s="119">
        <v>1</v>
      </c>
      <c r="F48" s="455">
        <v>51438.53</v>
      </c>
      <c r="G48" s="456"/>
      <c r="H48" s="40"/>
      <c r="I48" s="40"/>
      <c r="L48" s="120"/>
    </row>
    <row r="49" spans="1:12" ht="15">
      <c r="A49" s="34" t="s">
        <v>106</v>
      </c>
      <c r="B49" s="369" t="s">
        <v>721</v>
      </c>
      <c r="C49" s="371"/>
      <c r="D49" s="119" t="s">
        <v>174</v>
      </c>
      <c r="E49" s="119">
        <v>3200</v>
      </c>
      <c r="F49" s="455">
        <v>31008</v>
      </c>
      <c r="G49" s="456"/>
      <c r="H49" s="40"/>
      <c r="I49" s="40"/>
      <c r="L49" s="120"/>
    </row>
    <row r="50" spans="1:12" ht="15">
      <c r="A50" s="34" t="s">
        <v>107</v>
      </c>
      <c r="B50" s="369" t="s">
        <v>722</v>
      </c>
      <c r="C50" s="371"/>
      <c r="D50" s="119" t="s">
        <v>248</v>
      </c>
      <c r="E50" s="119">
        <v>1</v>
      </c>
      <c r="F50" s="455">
        <v>389590.63</v>
      </c>
      <c r="G50" s="456"/>
      <c r="H50" s="40"/>
      <c r="I50" s="40"/>
      <c r="L50" s="120"/>
    </row>
    <row r="51" spans="1:12" ht="15">
      <c r="A51" s="34" t="s">
        <v>120</v>
      </c>
      <c r="B51" s="369" t="s">
        <v>723</v>
      </c>
      <c r="C51" s="371"/>
      <c r="D51" s="119" t="s">
        <v>248</v>
      </c>
      <c r="E51" s="122" t="s">
        <v>724</v>
      </c>
      <c r="F51" s="455">
        <v>3300</v>
      </c>
      <c r="G51" s="456"/>
      <c r="H51" s="40"/>
      <c r="I51" s="40"/>
      <c r="L51" s="120"/>
    </row>
    <row r="52" spans="1:12" ht="15">
      <c r="A52" s="34" t="s">
        <v>121</v>
      </c>
      <c r="B52" s="369" t="s">
        <v>506</v>
      </c>
      <c r="C52" s="371"/>
      <c r="D52" s="119" t="s">
        <v>171</v>
      </c>
      <c r="E52" s="119">
        <v>1</v>
      </c>
      <c r="F52" s="455">
        <v>41550</v>
      </c>
      <c r="G52" s="456"/>
      <c r="H52" s="40"/>
      <c r="I52" s="40"/>
      <c r="L52" s="120"/>
    </row>
    <row r="53" spans="1:12" ht="15">
      <c r="A53" s="34" t="s">
        <v>122</v>
      </c>
      <c r="B53" s="369" t="s">
        <v>175</v>
      </c>
      <c r="C53" s="371"/>
      <c r="D53" s="119" t="s">
        <v>240</v>
      </c>
      <c r="E53" s="119">
        <v>1.2</v>
      </c>
      <c r="F53" s="420">
        <v>173306.46</v>
      </c>
      <c r="G53" s="421"/>
      <c r="H53" s="40"/>
      <c r="I53" s="40"/>
      <c r="L53" s="120"/>
    </row>
    <row r="54" spans="1:12" ht="15">
      <c r="A54" s="34" t="s">
        <v>144</v>
      </c>
      <c r="B54" s="369" t="s">
        <v>807</v>
      </c>
      <c r="C54" s="371"/>
      <c r="D54" s="119"/>
      <c r="E54" s="119"/>
      <c r="F54" s="420">
        <v>99315</v>
      </c>
      <c r="G54" s="421"/>
      <c r="H54" s="40"/>
      <c r="I54" s="40"/>
      <c r="L54" s="120"/>
    </row>
    <row r="55" spans="1:12" ht="15">
      <c r="A55" s="34" t="s">
        <v>146</v>
      </c>
      <c r="B55" s="369" t="s">
        <v>808</v>
      </c>
      <c r="C55" s="371"/>
      <c r="D55" s="119"/>
      <c r="E55" s="119"/>
      <c r="F55" s="420">
        <v>42000</v>
      </c>
      <c r="G55" s="421"/>
      <c r="H55" s="40"/>
      <c r="I55" s="40"/>
      <c r="L55" s="120"/>
    </row>
    <row r="56" spans="1:12" ht="15">
      <c r="A56" s="34" t="s">
        <v>147</v>
      </c>
      <c r="B56" s="369" t="s">
        <v>809</v>
      </c>
      <c r="C56" s="371"/>
      <c r="D56" s="119"/>
      <c r="E56" s="119"/>
      <c r="F56" s="420">
        <v>28000</v>
      </c>
      <c r="G56" s="421"/>
      <c r="H56" s="40"/>
      <c r="I56" s="40"/>
      <c r="L56" s="120"/>
    </row>
    <row r="57" spans="1:12" ht="15">
      <c r="A57" s="34" t="s">
        <v>320</v>
      </c>
      <c r="B57" s="369" t="s">
        <v>810</v>
      </c>
      <c r="C57" s="371"/>
      <c r="D57" s="119" t="s">
        <v>248</v>
      </c>
      <c r="E57" s="187">
        <v>5</v>
      </c>
      <c r="F57" s="420">
        <v>24500</v>
      </c>
      <c r="G57" s="421"/>
      <c r="H57" s="40"/>
      <c r="I57" s="40"/>
      <c r="L57" s="120"/>
    </row>
    <row r="58" spans="1:12" ht="15">
      <c r="A58" s="34" t="s">
        <v>357</v>
      </c>
      <c r="B58" s="408" t="s">
        <v>198</v>
      </c>
      <c r="C58" s="409"/>
      <c r="D58" s="125"/>
      <c r="E58" s="125"/>
      <c r="F58" s="410">
        <f>E25*1%</f>
        <v>5170.177000000001</v>
      </c>
      <c r="G58" s="410"/>
      <c r="H58" s="40"/>
      <c r="I58" s="40"/>
      <c r="L58" s="120"/>
    </row>
    <row r="59" spans="1:12" ht="15">
      <c r="A59" s="41" t="s">
        <v>25</v>
      </c>
      <c r="B59" s="372" t="s">
        <v>195</v>
      </c>
      <c r="C59" s="527"/>
      <c r="D59" s="119"/>
      <c r="E59" s="187"/>
      <c r="F59" s="516">
        <f>SUM(F60:F61)</f>
        <v>336150</v>
      </c>
      <c r="G59" s="517"/>
      <c r="H59" s="40"/>
      <c r="I59" s="40"/>
      <c r="L59" s="120"/>
    </row>
    <row r="60" spans="1:12" ht="15">
      <c r="A60" s="34" t="s">
        <v>355</v>
      </c>
      <c r="B60" s="369" t="s">
        <v>195</v>
      </c>
      <c r="C60" s="371"/>
      <c r="D60" s="119"/>
      <c r="E60" s="187" t="s">
        <v>746</v>
      </c>
      <c r="F60" s="420">
        <f>20950+315200</f>
        <v>336150</v>
      </c>
      <c r="G60" s="421"/>
      <c r="H60" s="40"/>
      <c r="I60" s="40"/>
      <c r="L60" s="120"/>
    </row>
    <row r="61" spans="1:12" ht="15">
      <c r="A61" s="34" t="s">
        <v>356</v>
      </c>
      <c r="B61" s="117"/>
      <c r="C61" s="118"/>
      <c r="D61" s="119"/>
      <c r="E61" s="187"/>
      <c r="F61" s="420"/>
      <c r="G61" s="421"/>
      <c r="H61" s="40"/>
      <c r="I61" s="40"/>
      <c r="L61" s="120"/>
    </row>
    <row r="62" s="59" customFormat="1" ht="9" customHeight="1"/>
    <row r="63" spans="1:11" s="59" customFormat="1" ht="15">
      <c r="A63" s="67" t="s">
        <v>55</v>
      </c>
      <c r="B63" s="67"/>
      <c r="C63" s="127" t="s">
        <v>49</v>
      </c>
      <c r="D63" s="67"/>
      <c r="E63" s="67"/>
      <c r="F63" s="67" t="s">
        <v>93</v>
      </c>
      <c r="G63" s="67"/>
      <c r="H63" s="67"/>
      <c r="I63" s="67"/>
      <c r="J63" s="67"/>
      <c r="K63" s="67"/>
    </row>
    <row r="64" spans="1:7" s="59" customFormat="1" ht="15">
      <c r="A64" s="67"/>
      <c r="B64" s="67"/>
      <c r="C64" s="127"/>
      <c r="D64" s="67"/>
      <c r="E64" s="67"/>
      <c r="F64" s="128" t="s">
        <v>516</v>
      </c>
      <c r="G64" s="67"/>
    </row>
    <row r="65" spans="1:10" s="59" customFormat="1" ht="15">
      <c r="A65" s="67" t="s">
        <v>50</v>
      </c>
      <c r="B65" s="67"/>
      <c r="C65" s="127"/>
      <c r="D65" s="67"/>
      <c r="E65" s="67"/>
      <c r="F65" s="67"/>
      <c r="G65" s="67"/>
      <c r="H65" s="158"/>
      <c r="I65" s="158"/>
      <c r="J65" s="158"/>
    </row>
    <row r="66" spans="1:11" ht="15">
      <c r="A66" s="67"/>
      <c r="B66" s="67"/>
      <c r="C66" s="129" t="s">
        <v>51</v>
      </c>
      <c r="D66" s="67"/>
      <c r="E66" s="130"/>
      <c r="F66" s="130"/>
      <c r="G66" s="130"/>
      <c r="H66" s="59"/>
      <c r="I66" s="59"/>
      <c r="J66" s="59"/>
      <c r="K66" s="59"/>
    </row>
    <row r="67" spans="1:11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sheetProtection/>
  <mergeCells count="50">
    <mergeCell ref="A33:F33"/>
    <mergeCell ref="F59:G59"/>
    <mergeCell ref="B58:C58"/>
    <mergeCell ref="F58:G58"/>
    <mergeCell ref="B59:C59"/>
    <mergeCell ref="B43:C43"/>
    <mergeCell ref="F43:G43"/>
    <mergeCell ref="B44:C44"/>
    <mergeCell ref="F44:G44"/>
    <mergeCell ref="F52:G52"/>
    <mergeCell ref="A1:K1"/>
    <mergeCell ref="A2:K2"/>
    <mergeCell ref="A3:K3"/>
    <mergeCell ref="A5:K5"/>
    <mergeCell ref="A9:K9"/>
    <mergeCell ref="A10:K10"/>
    <mergeCell ref="F61:G61"/>
    <mergeCell ref="F45:G45"/>
    <mergeCell ref="F46:G46"/>
    <mergeCell ref="F47:G47"/>
    <mergeCell ref="F48:G48"/>
    <mergeCell ref="A11:K11"/>
    <mergeCell ref="A34:C34"/>
    <mergeCell ref="F49:G49"/>
    <mergeCell ref="F50:G50"/>
    <mergeCell ref="A40:G40"/>
    <mergeCell ref="B51:C51"/>
    <mergeCell ref="B52:C52"/>
    <mergeCell ref="B42:C42"/>
    <mergeCell ref="F42:G42"/>
    <mergeCell ref="B45:C45"/>
    <mergeCell ref="B46:C46"/>
    <mergeCell ref="B47:C47"/>
    <mergeCell ref="B48:C48"/>
    <mergeCell ref="A38:B39"/>
    <mergeCell ref="B60:C60"/>
    <mergeCell ref="F60:G60"/>
    <mergeCell ref="B53:C53"/>
    <mergeCell ref="F53:G53"/>
    <mergeCell ref="B49:C49"/>
    <mergeCell ref="B50:C50"/>
    <mergeCell ref="B57:C57"/>
    <mergeCell ref="F57:G57"/>
    <mergeCell ref="F51:G51"/>
    <mergeCell ref="B54:C54"/>
    <mergeCell ref="B55:C55"/>
    <mergeCell ref="B56:C56"/>
    <mergeCell ref="F54:G54"/>
    <mergeCell ref="F55:G55"/>
    <mergeCell ref="F56:G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7030A0"/>
  </sheetPr>
  <dimension ref="A1:N50"/>
  <sheetViews>
    <sheetView zoomScalePageLayoutView="0" workbookViewId="0" topLeftCell="A31">
      <selection activeCell="G34" sqref="G3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spans="1:8" s="59" customFormat="1" ht="16.5" customHeight="1">
      <c r="A7" s="59" t="s">
        <v>2</v>
      </c>
      <c r="F7" s="60" t="s">
        <v>290</v>
      </c>
      <c r="H7" s="60"/>
    </row>
    <row r="8" spans="1:10" s="59" customFormat="1" ht="12.75">
      <c r="A8" s="59" t="s">
        <v>3</v>
      </c>
      <c r="F8" s="60" t="s">
        <v>291</v>
      </c>
      <c r="H8" s="312">
        <f>I8+J8</f>
        <v>2538.4</v>
      </c>
      <c r="I8" s="313">
        <v>30.9</v>
      </c>
      <c r="J8" s="313">
        <v>2507.5</v>
      </c>
    </row>
    <row r="9" spans="1:11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59" customFormat="1" ht="12.75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404</v>
      </c>
      <c r="B13" s="64"/>
      <c r="C13" s="64"/>
      <c r="D13" s="69"/>
      <c r="E13" s="70"/>
      <c r="F13" s="70"/>
      <c r="G13" s="65">
        <f>'[1]Суворова 153 к.5'!$G$35</f>
        <v>33094.874500000005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94</v>
      </c>
      <c r="D15" s="72" t="s">
        <v>374</v>
      </c>
      <c r="E15" s="72" t="s">
        <v>375</v>
      </c>
      <c r="F15" s="73" t="s">
        <v>376</v>
      </c>
      <c r="G15" s="72" t="s">
        <v>377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294036.48</v>
      </c>
      <c r="E16" s="76">
        <v>296615.71</v>
      </c>
      <c r="F16" s="76">
        <f aca="true" t="shared" si="0" ref="F16:F22">D16</f>
        <v>294036.48</v>
      </c>
      <c r="G16" s="77">
        <f>D16-E16</f>
        <v>-2579.2300000000396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102972.28955465587</v>
      </c>
      <c r="E17" s="83">
        <f>E16*I17</f>
        <v>103875.54216599192</v>
      </c>
      <c r="F17" s="83">
        <f t="shared" si="0"/>
        <v>102972.28955465587</v>
      </c>
      <c r="G17" s="84">
        <f>D17-E17</f>
        <v>-903.2526113360509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50295.713684210525</v>
      </c>
      <c r="E18" s="83">
        <f>E16*I18</f>
        <v>50736.8977631579</v>
      </c>
      <c r="F18" s="83">
        <f t="shared" si="0"/>
        <v>50295.713684210525</v>
      </c>
      <c r="G18" s="84">
        <f>D18-E18</f>
        <v>-441.18407894737175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50295.713684210525</v>
      </c>
      <c r="E19" s="83">
        <f>E16*I19</f>
        <v>50736.8977631579</v>
      </c>
      <c r="F19" s="83">
        <f t="shared" si="0"/>
        <v>50295.713684210525</v>
      </c>
      <c r="G19" s="84">
        <f>D19-E19</f>
        <v>-441.18407894737175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90472.76307692307</v>
      </c>
      <c r="E20" s="83">
        <f>E16*I20</f>
        <v>91266.37230769232</v>
      </c>
      <c r="F20" s="83">
        <f t="shared" si="0"/>
        <v>90472.76307692307</v>
      </c>
      <c r="G20" s="84">
        <f>D20-E20</f>
        <v>-793.6092307692452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230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212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119</v>
      </c>
      <c r="C24" s="95">
        <v>1.86</v>
      </c>
      <c r="D24" s="87">
        <v>55365.44</v>
      </c>
      <c r="E24" s="87">
        <v>55901.64</v>
      </c>
      <c r="F24" s="87">
        <f>F41</f>
        <v>133374.0164</v>
      </c>
      <c r="G24" s="77">
        <f t="shared" si="1"/>
        <v>-536.1999999999971</v>
      </c>
      <c r="H24" s="88"/>
      <c r="I24" s="88"/>
      <c r="J24" s="88"/>
      <c r="K24" s="88"/>
    </row>
    <row r="25" spans="1:11" ht="14.25">
      <c r="A25" s="41" t="s">
        <v>33</v>
      </c>
      <c r="B25" s="41" t="s">
        <v>168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373113.52999999997</v>
      </c>
      <c r="E26" s="77">
        <f>SUM(E27:E30)</f>
        <v>318328.32</v>
      </c>
      <c r="F26" s="77">
        <f>SUM(F27:F30)</f>
        <v>373113.52999999997</v>
      </c>
      <c r="G26" s="77">
        <f t="shared" si="1"/>
        <v>54785.20999999996</v>
      </c>
      <c r="H26" s="98"/>
      <c r="I26" s="98"/>
      <c r="J26" s="98"/>
      <c r="K26" s="98"/>
    </row>
    <row r="27" spans="1:7" ht="15">
      <c r="A27" s="34" t="s">
        <v>37</v>
      </c>
      <c r="B27" s="34" t="s">
        <v>172</v>
      </c>
      <c r="C27" s="293" t="s">
        <v>379</v>
      </c>
      <c r="D27" s="84">
        <v>6850.62</v>
      </c>
      <c r="E27" s="84">
        <v>7052.88</v>
      </c>
      <c r="F27" s="84">
        <f>D27</f>
        <v>6850.62</v>
      </c>
      <c r="G27" s="84">
        <f t="shared" si="1"/>
        <v>-202.26000000000022</v>
      </c>
    </row>
    <row r="28" spans="1:7" ht="15">
      <c r="A28" s="34" t="s">
        <v>39</v>
      </c>
      <c r="B28" s="34" t="s">
        <v>142</v>
      </c>
      <c r="C28" s="293" t="s">
        <v>382</v>
      </c>
      <c r="D28" s="84">
        <v>366262.91</v>
      </c>
      <c r="E28" s="84">
        <v>311275.44</v>
      </c>
      <c r="F28" s="84">
        <f>D28</f>
        <v>366262.91</v>
      </c>
      <c r="G28" s="84">
        <f t="shared" si="1"/>
        <v>54987.46999999997</v>
      </c>
    </row>
    <row r="29" spans="1:7" ht="15">
      <c r="A29" s="34" t="s">
        <v>42</v>
      </c>
      <c r="B29" s="51" t="s">
        <v>143</v>
      </c>
      <c r="C29" s="145">
        <v>0</v>
      </c>
      <c r="D29" s="84">
        <v>0</v>
      </c>
      <c r="E29" s="84">
        <v>0</v>
      </c>
      <c r="F29" s="84">
        <v>0</v>
      </c>
      <c r="G29" s="84">
        <f t="shared" si="1"/>
        <v>0</v>
      </c>
    </row>
    <row r="30" spans="1:7" s="279" customFormat="1" ht="15">
      <c r="A30" s="274" t="s">
        <v>41</v>
      </c>
      <c r="B30" s="274" t="s">
        <v>43</v>
      </c>
      <c r="C30" s="145">
        <v>0</v>
      </c>
      <c r="D30" s="216">
        <v>0</v>
      </c>
      <c r="E30" s="216">
        <v>0</v>
      </c>
      <c r="F30" s="216">
        <f>D30</f>
        <v>0</v>
      </c>
      <c r="G30" s="84">
        <f t="shared" si="1"/>
        <v>0</v>
      </c>
    </row>
    <row r="31" spans="1:9" s="102" customFormat="1" ht="21.75" customHeight="1" thickBot="1">
      <c r="A31" s="363" t="s">
        <v>378</v>
      </c>
      <c r="B31" s="364"/>
      <c r="C31" s="364"/>
      <c r="D31" s="365"/>
      <c r="E31" s="365"/>
      <c r="F31" s="365"/>
      <c r="G31" s="101"/>
      <c r="H31" s="101"/>
      <c r="I31" s="101"/>
    </row>
    <row r="32" spans="1:9" s="67" customFormat="1" ht="15.75" thickBot="1">
      <c r="A32" s="378" t="s">
        <v>383</v>
      </c>
      <c r="B32" s="379"/>
      <c r="C32" s="379"/>
      <c r="D32" s="65">
        <v>124968.84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387</v>
      </c>
      <c r="B34" s="64"/>
      <c r="C34" s="64"/>
      <c r="D34" s="69"/>
      <c r="E34" s="70"/>
      <c r="F34" s="70"/>
      <c r="G34" s="146">
        <f>G13+E24-F24</f>
        <v>-44377.50189999999</v>
      </c>
      <c r="H34" s="62"/>
      <c r="I34" s="62"/>
    </row>
    <row r="35" spans="1:9" s="67" customFormat="1" ht="15">
      <c r="A35" s="68" t="s">
        <v>489</v>
      </c>
      <c r="B35" s="68"/>
      <c r="C35" s="68"/>
      <c r="D35" s="40"/>
      <c r="E35" s="66"/>
      <c r="F35" s="66"/>
      <c r="G35" s="40"/>
      <c r="H35" s="62"/>
      <c r="I35" s="62"/>
    </row>
    <row r="36" spans="1:9" s="67" customFormat="1" ht="15">
      <c r="A36" s="429" t="s">
        <v>150</v>
      </c>
      <c r="B36" s="430"/>
      <c r="C36" s="322" t="s">
        <v>151</v>
      </c>
      <c r="D36" s="322" t="s">
        <v>152</v>
      </c>
      <c r="E36" s="323" t="s">
        <v>153</v>
      </c>
      <c r="F36" s="324" t="s">
        <v>154</v>
      </c>
      <c r="G36" s="323" t="s">
        <v>155</v>
      </c>
      <c r="H36" s="62"/>
      <c r="I36" s="62"/>
    </row>
    <row r="37" spans="1:9" s="67" customFormat="1" ht="15">
      <c r="A37" s="431"/>
      <c r="B37" s="432"/>
      <c r="C37" s="302">
        <v>30.9</v>
      </c>
      <c r="D37" s="325">
        <f>E37/C37/12</f>
        <v>11.603451995685006</v>
      </c>
      <c r="E37" s="327">
        <v>4302.56</v>
      </c>
      <c r="F37" s="327">
        <v>4201.2</v>
      </c>
      <c r="G37" s="325">
        <f>E37-F37</f>
        <v>101.36000000000058</v>
      </c>
      <c r="H37" s="62"/>
      <c r="I37" s="307">
        <v>30.9</v>
      </c>
    </row>
    <row r="38" spans="1:11" ht="31.5" customHeight="1">
      <c r="A38" s="434" t="s">
        <v>189</v>
      </c>
      <c r="B38" s="435"/>
      <c r="C38" s="435"/>
      <c r="D38" s="435"/>
      <c r="E38" s="435"/>
      <c r="F38" s="435"/>
      <c r="G38" s="435"/>
      <c r="H38" s="58"/>
      <c r="I38" s="58"/>
      <c r="J38" s="58"/>
      <c r="K38" s="58"/>
    </row>
    <row r="40" spans="1:12" s="74" customFormat="1" ht="37.5" customHeight="1">
      <c r="A40" s="105" t="s">
        <v>11</v>
      </c>
      <c r="B40" s="394" t="s">
        <v>45</v>
      </c>
      <c r="C40" s="405"/>
      <c r="D40" s="105" t="s">
        <v>170</v>
      </c>
      <c r="E40" s="105" t="s">
        <v>169</v>
      </c>
      <c r="F40" s="394" t="s">
        <v>46</v>
      </c>
      <c r="G40" s="405"/>
      <c r="H40" s="251"/>
      <c r="I40" s="252"/>
      <c r="L40" s="108"/>
    </row>
    <row r="41" spans="1:12" s="115" customFormat="1" ht="15" customHeight="1">
      <c r="A41" s="109" t="s">
        <v>47</v>
      </c>
      <c r="B41" s="396" t="s">
        <v>114</v>
      </c>
      <c r="C41" s="399"/>
      <c r="D41" s="111"/>
      <c r="E41" s="111"/>
      <c r="F41" s="411">
        <f>SUM(F42:G44)</f>
        <v>133374.0164</v>
      </c>
      <c r="G41" s="404"/>
      <c r="H41" s="253"/>
      <c r="I41" s="254"/>
      <c r="L41" s="116"/>
    </row>
    <row r="42" spans="1:12" ht="15">
      <c r="A42" s="34" t="s">
        <v>16</v>
      </c>
      <c r="B42" s="369" t="s">
        <v>852</v>
      </c>
      <c r="C42" s="371"/>
      <c r="D42" s="119" t="s">
        <v>248</v>
      </c>
      <c r="E42" s="187">
        <v>2</v>
      </c>
      <c r="F42" s="420">
        <v>132815</v>
      </c>
      <c r="G42" s="421"/>
      <c r="H42" s="255"/>
      <c r="I42" s="256"/>
      <c r="L42" s="120"/>
    </row>
    <row r="43" spans="1:12" ht="15">
      <c r="A43" s="34" t="s">
        <v>18</v>
      </c>
      <c r="B43" s="369"/>
      <c r="C43" s="371"/>
      <c r="D43" s="119"/>
      <c r="E43" s="187"/>
      <c r="F43" s="420"/>
      <c r="G43" s="421"/>
      <c r="H43" s="40"/>
      <c r="I43" s="40"/>
      <c r="L43" s="120"/>
    </row>
    <row r="44" spans="1:11" s="67" customFormat="1" ht="15">
      <c r="A44" s="34" t="s">
        <v>20</v>
      </c>
      <c r="B44" s="408" t="s">
        <v>198</v>
      </c>
      <c r="C44" s="409"/>
      <c r="D44" s="125"/>
      <c r="E44" s="125"/>
      <c r="F44" s="410">
        <f>E24*1%</f>
        <v>559.0164</v>
      </c>
      <c r="G44" s="410"/>
      <c r="H44" s="59"/>
      <c r="I44" s="59"/>
      <c r="J44" s="59"/>
      <c r="K44" s="59"/>
    </row>
    <row r="45" s="59" customFormat="1" ht="9" customHeight="1"/>
    <row r="46" spans="1:11" s="59" customFormat="1" ht="15">
      <c r="A46" s="67" t="s">
        <v>55</v>
      </c>
      <c r="B46" s="67"/>
      <c r="C46" s="127" t="s">
        <v>49</v>
      </c>
      <c r="D46" s="67"/>
      <c r="E46" s="67"/>
      <c r="F46" s="67" t="s">
        <v>93</v>
      </c>
      <c r="G46" s="67"/>
      <c r="H46" s="67"/>
      <c r="I46" s="67"/>
      <c r="J46" s="67"/>
      <c r="K46" s="67"/>
    </row>
    <row r="47" spans="1:7" s="59" customFormat="1" ht="15">
      <c r="A47" s="67"/>
      <c r="B47" s="67"/>
      <c r="C47" s="127"/>
      <c r="D47" s="67"/>
      <c r="E47" s="67"/>
      <c r="F47" s="128" t="s">
        <v>516</v>
      </c>
      <c r="G47" s="67"/>
    </row>
    <row r="48" spans="1:10" s="59" customFormat="1" ht="15">
      <c r="A48" s="67" t="s">
        <v>50</v>
      </c>
      <c r="B48" s="67"/>
      <c r="C48" s="127"/>
      <c r="D48" s="67"/>
      <c r="E48" s="67"/>
      <c r="F48" s="67"/>
      <c r="G48" s="67"/>
      <c r="H48" s="158"/>
      <c r="I48" s="158"/>
      <c r="J48" s="158"/>
    </row>
    <row r="49" spans="1:11" ht="15">
      <c r="A49" s="67"/>
      <c r="B49" s="67"/>
      <c r="C49" s="129" t="s">
        <v>51</v>
      </c>
      <c r="D49" s="67"/>
      <c r="E49" s="130"/>
      <c r="F49" s="130"/>
      <c r="G49" s="130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</sheetData>
  <sheetProtection/>
  <mergeCells count="21">
    <mergeCell ref="A1:K1"/>
    <mergeCell ref="A2:K2"/>
    <mergeCell ref="A3:K3"/>
    <mergeCell ref="A5:K5"/>
    <mergeCell ref="A9:K9"/>
    <mergeCell ref="A10:K10"/>
    <mergeCell ref="A11:K11"/>
    <mergeCell ref="A32:C32"/>
    <mergeCell ref="B40:C40"/>
    <mergeCell ref="F40:G40"/>
    <mergeCell ref="A38:G38"/>
    <mergeCell ref="A31:F31"/>
    <mergeCell ref="A36:B37"/>
    <mergeCell ref="B43:C43"/>
    <mergeCell ref="F43:G43"/>
    <mergeCell ref="B44:C44"/>
    <mergeCell ref="F44:G44"/>
    <mergeCell ref="B41:C41"/>
    <mergeCell ref="F41:G41"/>
    <mergeCell ref="B42:C42"/>
    <mergeCell ref="F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7030A0"/>
  </sheetPr>
  <dimension ref="A1:O45"/>
  <sheetViews>
    <sheetView zoomScalePageLayoutView="0" workbookViewId="0" topLeftCell="A28">
      <selection activeCell="A40" sqref="A40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2" width="10.421875" style="57" hidden="1" customWidth="1" outlineLevel="1"/>
    <col min="13" max="13" width="11.421875" style="57" hidden="1" customWidth="1" outlineLevel="1"/>
    <col min="14" max="14" width="10.00390625" style="57" hidden="1" customWidth="1" outlineLevel="1"/>
    <col min="15" max="15" width="15.8515625" style="57" customWidth="1" collapsed="1"/>
    <col min="16" max="16384" width="9.140625" style="57" customWidth="1"/>
  </cols>
  <sheetData>
    <row r="1" spans="1:12" ht="12.7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56"/>
    </row>
    <row r="2" spans="1:12" ht="12.75">
      <c r="A2" s="366" t="s">
        <v>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56"/>
    </row>
    <row r="3" spans="1:12" ht="13.5" customHeight="1">
      <c r="A3" s="366" t="s">
        <v>384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56"/>
    </row>
    <row r="4" spans="1:12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6.5" customHeight="1">
      <c r="A5" s="367" t="s">
        <v>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56"/>
    </row>
    <row r="7" spans="1:8" s="59" customFormat="1" ht="16.5" customHeight="1">
      <c r="A7" s="59" t="s">
        <v>2</v>
      </c>
      <c r="F7" s="60" t="s">
        <v>289</v>
      </c>
      <c r="H7" s="60"/>
    </row>
    <row r="8" spans="1:8" s="59" customFormat="1" ht="12.75">
      <c r="A8" s="59" t="s">
        <v>3</v>
      </c>
      <c r="F8" s="310" t="s">
        <v>326</v>
      </c>
      <c r="H8" s="280" t="s">
        <v>327</v>
      </c>
    </row>
    <row r="9" spans="1:12" s="59" customFormat="1" ht="12.75">
      <c r="A9" s="368" t="s">
        <v>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62"/>
    </row>
    <row r="10" spans="1:12" s="59" customFormat="1" ht="12.75">
      <c r="A10" s="368" t="s">
        <v>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62"/>
    </row>
    <row r="11" spans="1:12" s="59" customFormat="1" ht="13.5" thickBot="1">
      <c r="A11" s="368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62"/>
    </row>
    <row r="12" spans="1:9" s="67" customFormat="1" ht="15.75" thickBot="1">
      <c r="A12" s="63" t="s">
        <v>469</v>
      </c>
      <c r="B12" s="64"/>
      <c r="C12" s="64"/>
      <c r="D12" s="69"/>
      <c r="E12" s="70"/>
      <c r="F12" s="70"/>
      <c r="G12" s="65">
        <f>'[1]А.Королева 29 гаражи'!$G$35</f>
        <v>0</v>
      </c>
      <c r="H12" s="62"/>
      <c r="I12" s="62"/>
    </row>
    <row r="13" s="59" customFormat="1" ht="6.75" customHeight="1"/>
    <row r="14" spans="1:10" s="74" customFormat="1" ht="38.25">
      <c r="A14" s="72" t="s">
        <v>11</v>
      </c>
      <c r="B14" s="72" t="s">
        <v>12</v>
      </c>
      <c r="C14" s="72" t="s">
        <v>94</v>
      </c>
      <c r="D14" s="72" t="s">
        <v>374</v>
      </c>
      <c r="E14" s="72" t="s">
        <v>375</v>
      </c>
      <c r="F14" s="73" t="s">
        <v>376</v>
      </c>
      <c r="G14" s="72" t="s">
        <v>377</v>
      </c>
      <c r="J14" s="314">
        <f>SUM(J15:J29)</f>
        <v>24.379264666666664</v>
      </c>
    </row>
    <row r="15" spans="1:15" s="59" customFormat="1" ht="14.25">
      <c r="A15" s="75" t="s">
        <v>14</v>
      </c>
      <c r="B15" s="41" t="s">
        <v>15</v>
      </c>
      <c r="C15" s="97">
        <f>C16+C17+C18+C19</f>
        <v>10.34</v>
      </c>
      <c r="D15" s="76">
        <f>(9.97*4)*637.03+(10.34*8)*637.03</f>
        <v>78099.878</v>
      </c>
      <c r="E15" s="76">
        <f>81265.46-I23-I24-I26-I27-I28-I29</f>
        <v>68523.26999999999</v>
      </c>
      <c r="F15" s="76">
        <f aca="true" t="shared" si="0" ref="F15:F21">D15</f>
        <v>78099.878</v>
      </c>
      <c r="G15" s="77">
        <f>D15-E15</f>
        <v>9576.608000000007</v>
      </c>
      <c r="H15" s="78">
        <f>C15</f>
        <v>10.34</v>
      </c>
      <c r="I15" s="79"/>
      <c r="J15" s="79">
        <f>(9.97*4+10.34*8)/12</f>
        <v>10.216666666666667</v>
      </c>
      <c r="K15" s="59">
        <f>J15/J14</f>
        <v>0.4190719780254789</v>
      </c>
      <c r="M15" s="76">
        <f>8092.29+8092.29+8092.29+8092.29+8092.29+8092.29+8092.29+8092.29+16184.53+2698.24+2698.24+8092.29+8092.29+8092.29+8092.29+2698.24+8092.29+16184.53+8092.29+8092.29</f>
        <v>161848.13</v>
      </c>
      <c r="N15" s="76">
        <f>7607.21+7607.21+7603.7+7607.21+3838.58+8124.78+3751.11+7607.21+13274.08+7122.14+7122.23</f>
        <v>81265.45999999999</v>
      </c>
      <c r="O15" s="80"/>
    </row>
    <row r="16" spans="1:14" s="59" customFormat="1" ht="15">
      <c r="A16" s="81" t="s">
        <v>16</v>
      </c>
      <c r="B16" s="34" t="s">
        <v>17</v>
      </c>
      <c r="C16" s="82">
        <v>3.46</v>
      </c>
      <c r="D16" s="83">
        <f>D15*I16</f>
        <v>26134.001729206964</v>
      </c>
      <c r="E16" s="83">
        <f>E15*K16</f>
        <v>9725.08881796462</v>
      </c>
      <c r="F16" s="83">
        <f t="shared" si="0"/>
        <v>26134.001729206964</v>
      </c>
      <c r="G16" s="84">
        <f>D16-E16</f>
        <v>16408.912911242343</v>
      </c>
      <c r="H16" s="78">
        <f>C16</f>
        <v>3.46</v>
      </c>
      <c r="I16" s="59">
        <f>H16/H15</f>
        <v>0.33462282398452614</v>
      </c>
      <c r="J16" s="59">
        <v>3.46</v>
      </c>
      <c r="K16" s="59">
        <f>J16/J14</f>
        <v>0.141923886848433</v>
      </c>
      <c r="N16" s="78">
        <f>E15+E23+E24+E25</f>
        <v>81265.45999999999</v>
      </c>
    </row>
    <row r="17" spans="1:11" s="59" customFormat="1" ht="15">
      <c r="A17" s="81" t="s">
        <v>18</v>
      </c>
      <c r="B17" s="34" t="s">
        <v>19</v>
      </c>
      <c r="C17" s="82">
        <v>1.69</v>
      </c>
      <c r="D17" s="83">
        <f>D15*I17</f>
        <v>12764.87367698259</v>
      </c>
      <c r="E17" s="83">
        <f>E15*K17</f>
        <v>4750.115636520291</v>
      </c>
      <c r="F17" s="83">
        <f t="shared" si="0"/>
        <v>12764.87367698259</v>
      </c>
      <c r="G17" s="84">
        <f>D17-E17</f>
        <v>8014.758040462299</v>
      </c>
      <c r="H17" s="78">
        <f>C17</f>
        <v>1.69</v>
      </c>
      <c r="I17" s="59">
        <f>H17/H15</f>
        <v>0.1634429400386847</v>
      </c>
      <c r="J17" s="59">
        <v>1.69</v>
      </c>
      <c r="K17" s="59">
        <f>J17/J14</f>
        <v>0.06932120484793403</v>
      </c>
    </row>
    <row r="18" spans="1:11" s="59" customFormat="1" ht="15">
      <c r="A18" s="81" t="s">
        <v>20</v>
      </c>
      <c r="B18" s="34" t="s">
        <v>21</v>
      </c>
      <c r="C18" s="82">
        <v>2.15</v>
      </c>
      <c r="D18" s="83">
        <f>D15*I18</f>
        <v>16239.336334622823</v>
      </c>
      <c r="E18" s="83">
        <f>E15*K18</f>
        <v>6043.046519833508</v>
      </c>
      <c r="F18" s="83">
        <f t="shared" si="0"/>
        <v>16239.336334622823</v>
      </c>
      <c r="G18" s="84">
        <f>D18-E18</f>
        <v>10196.289814789316</v>
      </c>
      <c r="H18" s="78">
        <f>C18</f>
        <v>2.15</v>
      </c>
      <c r="I18" s="59">
        <f>H18/H15</f>
        <v>0.2079303675048356</v>
      </c>
      <c r="J18" s="59">
        <v>2.15</v>
      </c>
      <c r="K18" s="59">
        <f>J18/J14</f>
        <v>0.08818969847518235</v>
      </c>
    </row>
    <row r="19" spans="1:11" s="59" customFormat="1" ht="15">
      <c r="A19" s="81" t="s">
        <v>22</v>
      </c>
      <c r="B19" s="34" t="s">
        <v>23</v>
      </c>
      <c r="C19" s="82">
        <v>3.04</v>
      </c>
      <c r="D19" s="83">
        <f>D15*I19</f>
        <v>22961.66625918762</v>
      </c>
      <c r="E19" s="83">
        <f>E15*K19</f>
        <v>8544.586707113425</v>
      </c>
      <c r="F19" s="83">
        <f t="shared" si="0"/>
        <v>22961.66625918762</v>
      </c>
      <c r="G19" s="84">
        <f>D19-E19</f>
        <v>14417.079552074194</v>
      </c>
      <c r="H19" s="78">
        <f>C19</f>
        <v>3.04</v>
      </c>
      <c r="I19" s="59">
        <f>H19/H15</f>
        <v>0.2940038684719536</v>
      </c>
      <c r="J19" s="59">
        <v>3.04</v>
      </c>
      <c r="K19" s="59">
        <f>J19/J14</f>
        <v>0.12469613179746714</v>
      </c>
    </row>
    <row r="20" spans="1:12" s="89" customFormat="1" ht="14.25">
      <c r="A20" s="86" t="s">
        <v>25</v>
      </c>
      <c r="B20" s="86" t="s">
        <v>230</v>
      </c>
      <c r="C20" s="46">
        <v>0</v>
      </c>
      <c r="D20" s="87">
        <v>0</v>
      </c>
      <c r="E20" s="87">
        <v>0</v>
      </c>
      <c r="F20" s="87">
        <v>0</v>
      </c>
      <c r="G20" s="77">
        <f aca="true" t="shared" si="1" ref="G20:G29">D20-E20</f>
        <v>0</v>
      </c>
      <c r="H20" s="88"/>
      <c r="I20" s="88"/>
      <c r="J20" s="88"/>
      <c r="K20" s="88"/>
      <c r="L20" s="88"/>
    </row>
    <row r="21" spans="1:12" s="89" customFormat="1" ht="14.25">
      <c r="A21" s="86" t="s">
        <v>27</v>
      </c>
      <c r="B21" s="86" t="s">
        <v>212</v>
      </c>
      <c r="C21" s="46">
        <v>0</v>
      </c>
      <c r="D21" s="87">
        <v>0</v>
      </c>
      <c r="E21" s="87">
        <v>0</v>
      </c>
      <c r="F21" s="87">
        <f t="shared" si="0"/>
        <v>0</v>
      </c>
      <c r="G21" s="77">
        <f t="shared" si="1"/>
        <v>0</v>
      </c>
      <c r="H21" s="88"/>
      <c r="I21" s="88"/>
      <c r="J21" s="88"/>
      <c r="K21" s="88"/>
      <c r="L21" s="88"/>
    </row>
    <row r="22" spans="1:12" s="89" customFormat="1" ht="14.25">
      <c r="A22" s="86" t="s">
        <v>29</v>
      </c>
      <c r="B22" s="86" t="s">
        <v>26</v>
      </c>
      <c r="C22" s="46">
        <v>0</v>
      </c>
      <c r="D22" s="87">
        <v>0</v>
      </c>
      <c r="E22" s="87">
        <v>0</v>
      </c>
      <c r="F22" s="87">
        <v>0</v>
      </c>
      <c r="G22" s="77">
        <f t="shared" si="1"/>
        <v>0</v>
      </c>
      <c r="H22" s="88"/>
      <c r="I22" s="88"/>
      <c r="J22" s="88"/>
      <c r="K22" s="88"/>
      <c r="L22" s="88"/>
    </row>
    <row r="23" spans="1:12" s="89" customFormat="1" ht="15">
      <c r="A23" s="86" t="s">
        <v>31</v>
      </c>
      <c r="B23" s="86" t="s">
        <v>119</v>
      </c>
      <c r="C23" s="95">
        <v>2.06</v>
      </c>
      <c r="D23" s="87">
        <f>(1.99*4+2.06*8)*637.03</f>
        <v>15569.0132</v>
      </c>
      <c r="E23" s="83">
        <f>I23</f>
        <v>6866.77</v>
      </c>
      <c r="F23" s="87">
        <f>F37</f>
        <v>68.66770000000001</v>
      </c>
      <c r="G23" s="77">
        <f t="shared" si="1"/>
        <v>8702.243199999999</v>
      </c>
      <c r="H23" s="88"/>
      <c r="I23" s="98">
        <v>6866.77</v>
      </c>
      <c r="J23" s="79">
        <v>2.06</v>
      </c>
      <c r="K23" s="59">
        <f>J23/J14</f>
        <v>0.08449803667854681</v>
      </c>
      <c r="L23" s="59"/>
    </row>
    <row r="24" spans="1:12" ht="15">
      <c r="A24" s="41" t="s">
        <v>33</v>
      </c>
      <c r="B24" s="41" t="s">
        <v>168</v>
      </c>
      <c r="C24" s="281" t="s">
        <v>395</v>
      </c>
      <c r="D24" s="77">
        <f>0.01224*637.03*12</f>
        <v>93.56696639999998</v>
      </c>
      <c r="E24" s="83">
        <f>I24</f>
        <v>40.8</v>
      </c>
      <c r="F24" s="87">
        <f>D24</f>
        <v>93.56696639999998</v>
      </c>
      <c r="G24" s="77">
        <f t="shared" si="1"/>
        <v>52.76696639999999</v>
      </c>
      <c r="H24" s="98"/>
      <c r="I24" s="98">
        <v>40.8</v>
      </c>
      <c r="J24" s="98">
        <v>0.01224</v>
      </c>
      <c r="K24" s="59">
        <f>J24/J14</f>
        <v>0.0005020660043424334</v>
      </c>
      <c r="L24" s="59"/>
    </row>
    <row r="25" spans="1:15" ht="14.25">
      <c r="A25" s="41" t="s">
        <v>35</v>
      </c>
      <c r="B25" s="41" t="s">
        <v>36</v>
      </c>
      <c r="C25" s="97"/>
      <c r="D25" s="77">
        <f>SUM(D26:D29)</f>
        <v>13380.36668088</v>
      </c>
      <c r="E25" s="77">
        <f>SUM(E26:E29)</f>
        <v>5834.620000000001</v>
      </c>
      <c r="F25" s="77">
        <f>SUM(F26:F29)</f>
        <v>13380.36668088</v>
      </c>
      <c r="G25" s="77">
        <f t="shared" si="1"/>
        <v>7545.74668088</v>
      </c>
      <c r="H25" s="98"/>
      <c r="I25" s="98"/>
      <c r="J25" s="98"/>
      <c r="K25" s="59"/>
      <c r="L25" s="59"/>
      <c r="O25" s="221"/>
    </row>
    <row r="26" spans="1:12" ht="15">
      <c r="A26" s="34" t="s">
        <v>37</v>
      </c>
      <c r="B26" s="34" t="s">
        <v>172</v>
      </c>
      <c r="C26" s="293" t="s">
        <v>379</v>
      </c>
      <c r="D26" s="84">
        <f>0.82319*12*637.03</f>
        <v>6292.7607084</v>
      </c>
      <c r="E26" s="83">
        <f>I26</f>
        <v>2744.01</v>
      </c>
      <c r="F26" s="84">
        <f>D26</f>
        <v>6292.7607084</v>
      </c>
      <c r="G26" s="84">
        <f t="shared" si="1"/>
        <v>3548.7507084</v>
      </c>
      <c r="I26" s="57">
        <v>2744.01</v>
      </c>
      <c r="J26" s="139">
        <v>0.82319</v>
      </c>
      <c r="K26" s="59">
        <f>J26/J14</f>
        <v>0.033765989715249</v>
      </c>
      <c r="L26" s="59"/>
    </row>
    <row r="27" spans="1:12" ht="15">
      <c r="A27" s="34" t="s">
        <v>39</v>
      </c>
      <c r="B27" s="34" t="s">
        <v>330</v>
      </c>
      <c r="C27" s="293" t="s">
        <v>470</v>
      </c>
      <c r="D27" s="84">
        <f>0.110229*12*637.03</f>
        <v>842.6301584399998</v>
      </c>
      <c r="E27" s="83">
        <f>I27</f>
        <v>367.44</v>
      </c>
      <c r="F27" s="84">
        <f>D27</f>
        <v>842.6301584399998</v>
      </c>
      <c r="G27" s="84">
        <f t="shared" si="1"/>
        <v>475.19015843999983</v>
      </c>
      <c r="I27" s="57">
        <v>367.44</v>
      </c>
      <c r="J27" s="139">
        <v>0.110229</v>
      </c>
      <c r="K27" s="59">
        <f>J27/J14</f>
        <v>0.004521424313125988</v>
      </c>
      <c r="L27" s="59"/>
    </row>
    <row r="28" spans="1:12" ht="15">
      <c r="A28" s="34" t="s">
        <v>42</v>
      </c>
      <c r="B28" s="51" t="s">
        <v>329</v>
      </c>
      <c r="C28" s="294" t="s">
        <v>471</v>
      </c>
      <c r="D28" s="84">
        <f>0.664961*12*637.03</f>
        <v>5083.20126996</v>
      </c>
      <c r="E28" s="83">
        <f>I28</f>
        <v>2216.57</v>
      </c>
      <c r="F28" s="84">
        <f>D28</f>
        <v>5083.20126996</v>
      </c>
      <c r="G28" s="84">
        <f t="shared" si="1"/>
        <v>2866.63126996</v>
      </c>
      <c r="I28" s="57">
        <v>2216.57</v>
      </c>
      <c r="J28" s="139">
        <v>0.664961</v>
      </c>
      <c r="K28" s="59">
        <f>J28/J14</f>
        <v>0.02727567911058406</v>
      </c>
      <c r="L28" s="59"/>
    </row>
    <row r="29" spans="1:12" s="279" customFormat="1" ht="15">
      <c r="A29" s="274" t="s">
        <v>41</v>
      </c>
      <c r="B29" s="274" t="s">
        <v>328</v>
      </c>
      <c r="C29" s="294" t="s">
        <v>472</v>
      </c>
      <c r="D29" s="84">
        <f>0.151978*12*637.03</f>
        <v>1161.77454408</v>
      </c>
      <c r="E29" s="83">
        <f>I29</f>
        <v>506.6</v>
      </c>
      <c r="F29" s="216">
        <f>D29</f>
        <v>1161.77454408</v>
      </c>
      <c r="G29" s="84">
        <f t="shared" si="1"/>
        <v>655.1745440799999</v>
      </c>
      <c r="I29" s="279">
        <v>506.6</v>
      </c>
      <c r="J29" s="139">
        <v>0.151978</v>
      </c>
      <c r="K29" s="59">
        <f>J29/J14</f>
        <v>0.006233904183656401</v>
      </c>
      <c r="L29" s="59"/>
    </row>
    <row r="30" spans="1:13" s="102" customFormat="1" ht="16.5" customHeight="1" thickBot="1">
      <c r="A30" s="100"/>
      <c r="B30" s="100"/>
      <c r="C30" s="100"/>
      <c r="D30" s="101"/>
      <c r="E30" s="101"/>
      <c r="F30" s="101"/>
      <c r="G30" s="101"/>
      <c r="H30" s="101"/>
      <c r="I30" s="101"/>
      <c r="M30" s="57"/>
    </row>
    <row r="31" spans="1:9" s="67" customFormat="1" ht="15.75" thickBot="1">
      <c r="A31" s="378" t="s">
        <v>383</v>
      </c>
      <c r="B31" s="379"/>
      <c r="C31" s="379"/>
      <c r="D31" s="65">
        <f>485.08+485.08+488.59+8092.29+8092.29+485.08+4253.71-32.49+16184.53+2698.24+2698.24+4341.18+485.08+8092.29+8092.29+2698.24+8092.29+2910.45+970.15+970.06</f>
        <v>80582.66999999998</v>
      </c>
      <c r="E31" s="66"/>
      <c r="F31" s="66"/>
      <c r="G31" s="66"/>
      <c r="H31" s="62"/>
      <c r="I31" s="62"/>
    </row>
    <row r="32" spans="1:9" s="67" customFormat="1" ht="6" customHeight="1" thickBot="1">
      <c r="A32" s="68"/>
      <c r="B32" s="68"/>
      <c r="C32" s="68"/>
      <c r="D32" s="40"/>
      <c r="E32" s="66"/>
      <c r="F32" s="66"/>
      <c r="G32" s="66"/>
      <c r="H32" s="62"/>
      <c r="I32" s="62"/>
    </row>
    <row r="33" spans="1:9" s="67" customFormat="1" ht="15.75" thickBot="1">
      <c r="A33" s="63" t="s">
        <v>387</v>
      </c>
      <c r="B33" s="64"/>
      <c r="C33" s="64"/>
      <c r="D33" s="69"/>
      <c r="E33" s="70"/>
      <c r="F33" s="70"/>
      <c r="G33" s="146">
        <f>G12+E23-F23</f>
        <v>6798.1023000000005</v>
      </c>
      <c r="H33" s="62"/>
      <c r="I33" s="62"/>
    </row>
    <row r="34" spans="1:12" ht="31.5" customHeight="1">
      <c r="A34" s="509" t="s">
        <v>189</v>
      </c>
      <c r="B34" s="510"/>
      <c r="C34" s="510"/>
      <c r="D34" s="510"/>
      <c r="E34" s="510"/>
      <c r="F34" s="510"/>
      <c r="G34" s="510"/>
      <c r="H34" s="58"/>
      <c r="I34" s="58"/>
      <c r="J34" s="58"/>
      <c r="K34" s="58"/>
      <c r="L34" s="58"/>
    </row>
    <row r="36" spans="1:13" s="74" customFormat="1" ht="37.5" customHeight="1">
      <c r="A36" s="105" t="s">
        <v>11</v>
      </c>
      <c r="B36" s="394" t="s">
        <v>45</v>
      </c>
      <c r="C36" s="405"/>
      <c r="D36" s="105" t="s">
        <v>170</v>
      </c>
      <c r="E36" s="105" t="s">
        <v>169</v>
      </c>
      <c r="F36" s="394" t="s">
        <v>46</v>
      </c>
      <c r="G36" s="405"/>
      <c r="H36" s="251"/>
      <c r="I36" s="252"/>
      <c r="M36" s="108"/>
    </row>
    <row r="37" spans="1:13" s="115" customFormat="1" ht="15" customHeight="1">
      <c r="A37" s="109" t="s">
        <v>47</v>
      </c>
      <c r="B37" s="396" t="s">
        <v>114</v>
      </c>
      <c r="C37" s="399"/>
      <c r="D37" s="111"/>
      <c r="E37" s="111"/>
      <c r="F37" s="411">
        <f>SUM(F38:G39)</f>
        <v>68.66770000000001</v>
      </c>
      <c r="G37" s="404"/>
      <c r="H37" s="253"/>
      <c r="I37" s="254"/>
      <c r="M37" s="116"/>
    </row>
    <row r="38" spans="1:13" ht="15">
      <c r="A38" s="34" t="s">
        <v>16</v>
      </c>
      <c r="B38" s="369"/>
      <c r="C38" s="371"/>
      <c r="D38" s="119"/>
      <c r="E38" s="119"/>
      <c r="F38" s="455"/>
      <c r="G38" s="456"/>
      <c r="H38" s="255"/>
      <c r="I38" s="256"/>
      <c r="M38" s="120"/>
    </row>
    <row r="39" spans="1:12" s="67" customFormat="1" ht="15">
      <c r="A39" s="34" t="s">
        <v>18</v>
      </c>
      <c r="B39" s="408" t="s">
        <v>198</v>
      </c>
      <c r="C39" s="409"/>
      <c r="D39" s="125"/>
      <c r="E39" s="125"/>
      <c r="F39" s="410">
        <f>E23*1%</f>
        <v>68.66770000000001</v>
      </c>
      <c r="G39" s="410"/>
      <c r="H39" s="59"/>
      <c r="I39" s="59"/>
      <c r="J39" s="59"/>
      <c r="K39" s="59"/>
      <c r="L39" s="59"/>
    </row>
    <row r="40" s="59" customFormat="1" ht="9" customHeight="1"/>
    <row r="41" spans="1:12" s="59" customFormat="1" ht="15">
      <c r="A41" s="67" t="s">
        <v>55</v>
      </c>
      <c r="B41" s="67"/>
      <c r="C41" s="127" t="s">
        <v>49</v>
      </c>
      <c r="D41" s="67"/>
      <c r="E41" s="67"/>
      <c r="F41" s="67" t="s">
        <v>93</v>
      </c>
      <c r="G41" s="67"/>
      <c r="H41" s="67"/>
      <c r="I41" s="67"/>
      <c r="J41" s="67"/>
      <c r="K41" s="67"/>
      <c r="L41" s="67"/>
    </row>
    <row r="42" spans="1:7" s="59" customFormat="1" ht="15">
      <c r="A42" s="67"/>
      <c r="B42" s="67"/>
      <c r="C42" s="127"/>
      <c r="D42" s="67"/>
      <c r="E42" s="67"/>
      <c r="F42" s="128" t="s">
        <v>516</v>
      </c>
      <c r="G42" s="67"/>
    </row>
    <row r="43" spans="1:10" s="59" customFormat="1" ht="15">
      <c r="A43" s="67" t="s">
        <v>50</v>
      </c>
      <c r="B43" s="67"/>
      <c r="C43" s="127"/>
      <c r="D43" s="67"/>
      <c r="E43" s="67"/>
      <c r="F43" s="67"/>
      <c r="G43" s="67"/>
      <c r="H43" s="158"/>
      <c r="I43" s="158"/>
      <c r="J43" s="158"/>
    </row>
    <row r="44" spans="1:12" ht="15">
      <c r="A44" s="67"/>
      <c r="B44" s="67"/>
      <c r="C44" s="129" t="s">
        <v>51</v>
      </c>
      <c r="D44" s="67"/>
      <c r="E44" s="130"/>
      <c r="F44" s="130"/>
      <c r="G44" s="130"/>
      <c r="H44" s="59"/>
      <c r="I44" s="59"/>
      <c r="J44" s="59"/>
      <c r="K44" s="59"/>
      <c r="L44" s="59"/>
    </row>
    <row r="45" spans="1:12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</sheetData>
  <sheetProtection/>
  <mergeCells count="17">
    <mergeCell ref="F38:G38"/>
    <mergeCell ref="A1:K1"/>
    <mergeCell ref="A2:K2"/>
    <mergeCell ref="A3:K3"/>
    <mergeCell ref="A5:K5"/>
    <mergeCell ref="A9:K9"/>
    <mergeCell ref="F36:G36"/>
    <mergeCell ref="B39:C39"/>
    <mergeCell ref="F39:G39"/>
    <mergeCell ref="B37:C37"/>
    <mergeCell ref="F37:G37"/>
    <mergeCell ref="B38:C38"/>
    <mergeCell ref="A10:K10"/>
    <mergeCell ref="A11:K11"/>
    <mergeCell ref="A31:C31"/>
    <mergeCell ref="A34:G34"/>
    <mergeCell ref="B36:C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2022-03-31T13:02:06Z</dcterms:modified>
  <cp:category/>
  <cp:version/>
  <cp:contentType/>
  <cp:contentStatus/>
</cp:coreProperties>
</file>