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55" tabRatio="599" firstSheet="47" activeTab="50"/>
  </bookViews>
  <sheets>
    <sheet name="Телевизионная 2а" sheetId="1" r:id="rId1"/>
    <sheet name="Пионерская 16" sheetId="2" r:id="rId2"/>
    <sheet name=" Пионерская 1318 кв.1-50" sheetId="3" r:id="rId3"/>
    <sheet name=" Пионерская 1318 кв.51-64" sheetId="4" r:id="rId4"/>
    <sheet name="Багговута 12" sheetId="5" r:id="rId5"/>
    <sheet name="Пионерская 15" sheetId="6" r:id="rId6"/>
    <sheet name="Социалистическая 3" sheetId="7" r:id="rId7"/>
    <sheet name="Социалистическая 4" sheetId="8" r:id="rId8"/>
    <sheet name="Социалистическая 6 к.1" sheetId="9" r:id="rId9"/>
    <sheet name="Социалистическая 6" sheetId="10" r:id="rId10"/>
    <sheet name="Социалистическая 9" sheetId="11" r:id="rId11"/>
    <sheet name="Социалистическая 12" sheetId="12" r:id="rId12"/>
    <sheet name="Телевизионная 2" sheetId="13" r:id="rId13"/>
    <sheet name="Телевизионная 4" sheetId="14" r:id="rId14"/>
    <sheet name="Чичерина 7а" sheetId="15" r:id="rId15"/>
    <sheet name="Чичерина 8" sheetId="16" r:id="rId16"/>
    <sheet name="Чичерина 16 к. 1" sheetId="17" r:id="rId17"/>
    <sheet name="пер.Чичерина 24" sheetId="18" r:id="rId18"/>
    <sheet name="пер. Чичерина 28" sheetId="19" r:id="rId19"/>
    <sheet name="Калинина 12" sheetId="20" r:id="rId20"/>
    <sheet name="Калинина 18" sheetId="21" r:id="rId21"/>
    <sheet name="Калинина 23" sheetId="22" r:id="rId22"/>
    <sheet name="Пионерская 9" sheetId="23" r:id="rId23"/>
    <sheet name="Высокая 4" sheetId="24" r:id="rId24"/>
    <sheet name="Пухова 15" sheetId="25" r:id="rId25"/>
    <sheet name="Пухова 17" sheetId="26" r:id="rId26"/>
    <sheet name="Калинина 4" sheetId="27" r:id="rId27"/>
    <sheet name="Тельмана 10" sheetId="28" r:id="rId28"/>
    <sheet name="Пионерская 18" sheetId="29" r:id="rId29"/>
    <sheet name="Чичерина 12 к.1" sheetId="30" r:id="rId30"/>
    <sheet name="Телевизионная 6 к.1" sheetId="31" r:id="rId31"/>
    <sheet name="Пионерская 2" sheetId="32" r:id="rId32"/>
    <sheet name="Телевизионная 2 к.1" sheetId="33" r:id="rId33"/>
    <sheet name="Чичерина 16" sheetId="34" r:id="rId34"/>
    <sheet name="Чичерина 19" sheetId="35" r:id="rId35"/>
    <sheet name="Чичерина 22" sheetId="36" r:id="rId36"/>
    <sheet name="Лист1" sheetId="37" state="hidden" r:id="rId37"/>
    <sheet name="Лист2" sheetId="38" state="hidden" r:id="rId38"/>
    <sheet name="Ленина 68,8" sheetId="39" r:id="rId39"/>
    <sheet name="Ленина 67" sheetId="40" r:id="rId40"/>
    <sheet name="Огарева 20" sheetId="41" r:id="rId41"/>
    <sheet name="Пролетарская 40" sheetId="42" r:id="rId42"/>
    <sheet name="Чижевского 4" sheetId="43" r:id="rId43"/>
    <sheet name="Билибина 10" sheetId="44" r:id="rId44"/>
    <sheet name="Ленина 61.5" sheetId="45" r:id="rId45"/>
    <sheet name="Билибина 26" sheetId="46" r:id="rId46"/>
    <sheet name="Московская 167" sheetId="47" r:id="rId47"/>
    <sheet name="Билибина 28" sheetId="48" r:id="rId48"/>
    <sheet name="Общее" sheetId="49" state="hidden" r:id="rId49"/>
    <sheet name="Пролетарская 135" sheetId="50" r:id="rId50"/>
    <sheet name="Молодежная 41" sheetId="51" r:id="rId51"/>
    <sheet name="Солнечный б-р 2 общий" sheetId="52" r:id="rId52"/>
    <sheet name="Солнечный б-р 4" sheetId="53" r:id="rId53"/>
    <sheet name="Солнечный б-р 4-1" sheetId="54" r:id="rId54"/>
    <sheet name="Солнечный б-р 4-2" sheetId="55" r:id="rId55"/>
    <sheet name="Аллейная 2" sheetId="56" r:id="rId56"/>
    <sheet name="Телевизионная 10" sheetId="57" r:id="rId57"/>
    <sheet name="Дубрава 1" sheetId="58" r:id="rId58"/>
    <sheet name="Дубрава 1а" sheetId="59" r:id="rId59"/>
    <sheet name="Дубрава 2" sheetId="60" r:id="rId60"/>
    <sheet name="Дубрава 3" sheetId="61" r:id="rId61"/>
    <sheet name="Дубрава 4" sheetId="62" r:id="rId62"/>
    <sheet name="Дубрава 5" sheetId="63" r:id="rId63"/>
    <sheet name="Дубрава 6" sheetId="64" r:id="rId64"/>
    <sheet name="Дубрава 7" sheetId="65" r:id="rId65"/>
    <sheet name="Дубрава 9" sheetId="66" r:id="rId66"/>
    <sheet name="Дубрава10" sheetId="67" r:id="rId67"/>
    <sheet name="Дубрава 11" sheetId="68" r:id="rId68"/>
    <sheet name="Нефтебаза 1" sheetId="69" r:id="rId69"/>
    <sheet name="Нефтебаза 2" sheetId="70" r:id="rId70"/>
    <sheet name="Нефтебаза 3" sheetId="71" r:id="rId71"/>
    <sheet name="Нефтебаза 4" sheetId="72" r:id="rId72"/>
    <sheet name="Нефтебаза 5" sheetId="73" r:id="rId73"/>
    <sheet name="Нефтебаза 6" sheetId="74" r:id="rId74"/>
    <sheet name="Аэропортовская 14" sheetId="75" r:id="rId75"/>
    <sheet name="Дорожная 11 корп1" sheetId="76" r:id="rId76"/>
    <sheet name="Дорожная 11 корп2" sheetId="77" r:id="rId77"/>
    <sheet name="Моторная 30А" sheetId="78" r:id="rId78"/>
    <sheet name="Грабцевское шоссе 160" sheetId="79" r:id="rId79"/>
    <sheet name="Аэропортовская 9" sheetId="80" r:id="rId80"/>
    <sheet name="Хрустальная 52" sheetId="81" r:id="rId81"/>
    <sheet name="Хрустальная 56" sheetId="82" r:id="rId82"/>
    <sheet name="Хрустальная 62" sheetId="83" r:id="rId83"/>
    <sheet name="Хрустальная 66" sheetId="84" r:id="rId84"/>
    <sheet name="Хрустальная 70" sheetId="85" r:id="rId85"/>
    <sheet name="Хрустальная 74" sheetId="86" r:id="rId86"/>
    <sheet name="Молодежная 46" sheetId="87" r:id="rId87"/>
    <sheet name="Молодежная 48" sheetId="88" r:id="rId88"/>
    <sheet name="Солнечный бульвар 20" sheetId="89" r:id="rId89"/>
    <sheet name="Грабцевское шоссе 132 корп.1" sheetId="90" r:id="rId90"/>
    <sheet name="Гагарина 9" sheetId="91" r:id="rId91"/>
    <sheet name="Добровольского 14" sheetId="92" r:id="rId92"/>
    <sheet name="Чижевского 12" sheetId="93" r:id="rId93"/>
    <sheet name="Чижевского 23" sheetId="94" r:id="rId94"/>
    <sheet name="Болотникова 16" sheetId="95" r:id="rId95"/>
    <sheet name="Плеханова 2 к.2" sheetId="96" r:id="rId96"/>
    <sheet name="65 лет Победы 29" sheetId="97" r:id="rId97"/>
    <sheet name="Суворова 153 к.5" sheetId="98" r:id="rId98"/>
    <sheet name="А.Королева 29 гаражи" sheetId="99" r:id="rId99"/>
    <sheet name="Кооперативная1дробь2" sheetId="100" r:id="rId100"/>
    <sheet name="А.Королева 29" sheetId="101" r:id="rId101"/>
    <sheet name="Калинина 15" sheetId="102" r:id="rId102"/>
  </sheets>
  <externalReferences>
    <externalReference r:id="rId105"/>
  </externalReferences>
  <definedNames>
    <definedName name="_xlnm.Print_Area" localSheetId="2">' Пионерская 1318 кв.1-50'!$A$1:$K$52</definedName>
    <definedName name="_xlnm.Print_Area" localSheetId="3">' Пионерская 1318 кв.51-64'!$A$1:$K$50</definedName>
    <definedName name="_xlnm.Print_Area" localSheetId="4">'Багговута 12'!$A$1:$K$59</definedName>
    <definedName name="_xlnm.Print_Area" localSheetId="50">'Молодежная 41'!$A$1:$J$67</definedName>
    <definedName name="_xlnm.Print_Area" localSheetId="17">'пер.Чичерина 24'!$A$1:$H$57</definedName>
    <definedName name="_xlnm.Print_Area" localSheetId="1">'Пионерская 16'!$A$1:$K$53</definedName>
    <definedName name="_xlnm.Print_Area" localSheetId="0">'Телевизионная 2а'!$A$1:$K$55</definedName>
  </definedNames>
  <calcPr fullCalcOnLoad="1"/>
</workbook>
</file>

<file path=xl/sharedStrings.xml><?xml version="1.0" encoding="utf-8"?>
<sst xmlns="http://schemas.openxmlformats.org/spreadsheetml/2006/main" count="8883" uniqueCount="791">
  <si>
    <t>ОТЧЕТ УПРАВЛЯЮЩЕЙ ОРГАНИЗАЦИИ</t>
  </si>
  <si>
    <t>1. Общие сведения о многоквартирном доме</t>
  </si>
  <si>
    <t>Адрес многоквартирного дома:</t>
  </si>
  <si>
    <t>Общая площадь многоквартирного дома:</t>
  </si>
  <si>
    <t xml:space="preserve"> в том числе:</t>
  </si>
  <si>
    <t>а) жилых помещений (общая площадь квартир):</t>
  </si>
  <si>
    <t xml:space="preserve">                                        </t>
  </si>
  <si>
    <t>б) нежилых помещений :</t>
  </si>
  <si>
    <t xml:space="preserve">2. Отчет по затратам на содержание, ремонт </t>
  </si>
  <si>
    <t>общего имущества в многоквартирном доме и коммунальные услуги</t>
  </si>
  <si>
    <t>за отчетный период</t>
  </si>
  <si>
    <t>№ п/п</t>
  </si>
  <si>
    <t>Наименование</t>
  </si>
  <si>
    <t>Остаток средств на 01.01.2011 г., руб.</t>
  </si>
  <si>
    <t>1.</t>
  </si>
  <si>
    <t>Содержание общего имущества , в том числе:</t>
  </si>
  <si>
    <t>1.1.</t>
  </si>
  <si>
    <t>Управление многоквартирным домом</t>
  </si>
  <si>
    <t>1.2.</t>
  </si>
  <si>
    <t>Содержание конструктивных элементов</t>
  </si>
  <si>
    <t>1.3.</t>
  </si>
  <si>
    <t>Содержание инженерных сетей</t>
  </si>
  <si>
    <t>1.4.</t>
  </si>
  <si>
    <t>Содержание придомовой территории</t>
  </si>
  <si>
    <t>1.5.</t>
  </si>
  <si>
    <t>2.</t>
  </si>
  <si>
    <t>Содержание лифтов</t>
  </si>
  <si>
    <t>3.</t>
  </si>
  <si>
    <t>Сбор, вывоз ТБО (ЖБО)</t>
  </si>
  <si>
    <t>4.</t>
  </si>
  <si>
    <t>Содержание мусоропроводов</t>
  </si>
  <si>
    <t>5.</t>
  </si>
  <si>
    <t>Текущий ремонт общего имущества</t>
  </si>
  <si>
    <t xml:space="preserve">6. </t>
  </si>
  <si>
    <t>Капитальный ремонт общего имущества</t>
  </si>
  <si>
    <t>7.</t>
  </si>
  <si>
    <t>Коммунальные услуги, в том числе:</t>
  </si>
  <si>
    <t>7.1.</t>
  </si>
  <si>
    <t>Холодное водоснабжение</t>
  </si>
  <si>
    <t>7.2.</t>
  </si>
  <si>
    <t>Горячее водоснабжение</t>
  </si>
  <si>
    <t>7.4.</t>
  </si>
  <si>
    <t>7.3.</t>
  </si>
  <si>
    <t>Центральное отопление</t>
  </si>
  <si>
    <t>3. Отчет о фактически выполненных работах по ремонту общего имущества в многоквартирном доме на основании принятого решения собственниками помещений</t>
  </si>
  <si>
    <t>Виды услуг (работ)</t>
  </si>
  <si>
    <t>Затраты за отчетный период, руб.</t>
  </si>
  <si>
    <t xml:space="preserve">1. </t>
  </si>
  <si>
    <t>Текущий ремонт</t>
  </si>
  <si>
    <t>__________________</t>
  </si>
  <si>
    <t>В целях контроля отчет предоставлен: __________________________________________</t>
  </si>
  <si>
    <t>(Ф.И.О. уполномоченного лица, определенного решением общего собрания)</t>
  </si>
  <si>
    <t>ООО "Техно-Р"</t>
  </si>
  <si>
    <t xml:space="preserve">      ул. Телевизионная д. 2 а    </t>
  </si>
  <si>
    <t xml:space="preserve">           2419,10 кв.м          </t>
  </si>
  <si>
    <t>Директор ООО "Техно-Р"</t>
  </si>
  <si>
    <t xml:space="preserve">      ул. Пионерская д. 16    </t>
  </si>
  <si>
    <t xml:space="preserve">      ул. Багговута д. 12    </t>
  </si>
  <si>
    <t xml:space="preserve">           2811,80 кв.м          </t>
  </si>
  <si>
    <t xml:space="preserve">      ул. Пионерская д. 15    </t>
  </si>
  <si>
    <t xml:space="preserve">      ул. Социалистическая  д. 4    </t>
  </si>
  <si>
    <t xml:space="preserve">      ул. Социалистическая  д. 6    </t>
  </si>
  <si>
    <t xml:space="preserve">      ул. Социалистическая  д. 6 корп. 1    </t>
  </si>
  <si>
    <t xml:space="preserve">          1005,30 кв.м          </t>
  </si>
  <si>
    <t xml:space="preserve">      ул. Социалистическая д. 9    </t>
  </si>
  <si>
    <t xml:space="preserve">      ул. Социалистическая  д. 12    </t>
  </si>
  <si>
    <t xml:space="preserve">      ул. Телевизионная д. 2     </t>
  </si>
  <si>
    <t xml:space="preserve">      ул. Телевизионная д. 4    </t>
  </si>
  <si>
    <t xml:space="preserve">      ул. Чичерина  д. 7 а    </t>
  </si>
  <si>
    <t xml:space="preserve">      ул. Чичерина д. 8    </t>
  </si>
  <si>
    <t xml:space="preserve">      пер. Чичерина  д. 24    </t>
  </si>
  <si>
    <t xml:space="preserve">      пер. Чичерина д. 28    </t>
  </si>
  <si>
    <t xml:space="preserve">      ул. Калинина д. 12   </t>
  </si>
  <si>
    <t xml:space="preserve">           2724,30 кв.м          </t>
  </si>
  <si>
    <t xml:space="preserve">      ул. Калинина д. 18   </t>
  </si>
  <si>
    <t xml:space="preserve">      ул. Калинина д. 23   </t>
  </si>
  <si>
    <t xml:space="preserve">      ул. Пионерская д. 9    </t>
  </si>
  <si>
    <t xml:space="preserve">      ул. Высокая  д. 4    </t>
  </si>
  <si>
    <t xml:space="preserve">           1817,70 кв.м          </t>
  </si>
  <si>
    <t xml:space="preserve">      ул. Пухова д. 15    </t>
  </si>
  <si>
    <t xml:space="preserve">           371,80 кв.м          </t>
  </si>
  <si>
    <t xml:space="preserve">      ул. Пухова  д. 17       </t>
  </si>
  <si>
    <t xml:space="preserve">      ул. Калинина  д. 4    </t>
  </si>
  <si>
    <t xml:space="preserve">      ул. Пионерская  д. 18    </t>
  </si>
  <si>
    <t xml:space="preserve">           2821,10 кв.м          </t>
  </si>
  <si>
    <t xml:space="preserve">           900,40 кв.м          </t>
  </si>
  <si>
    <t xml:space="preserve">      ул. Пионерская д. 2    </t>
  </si>
  <si>
    <t xml:space="preserve">      ул. Чичерина д. 16    </t>
  </si>
  <si>
    <t xml:space="preserve">      ул. Чичерина  д. 22     </t>
  </si>
  <si>
    <t>Начислено в 2011 г., руб.</t>
  </si>
  <si>
    <t>Поступило средств за 2011 г., руб.</t>
  </si>
  <si>
    <t>Выполнены работы за 2011 г., руб.</t>
  </si>
  <si>
    <t>Остаток средств на 01.01.2012 г., руб.</t>
  </si>
  <si>
    <t>А.Е. Артамонов</t>
  </si>
  <si>
    <t>Тариф, руб. на ед. изм.</t>
  </si>
  <si>
    <t>Капитальный ремонт</t>
  </si>
  <si>
    <t>Электроэнерния МОП</t>
  </si>
  <si>
    <t>Итого за жилищные и коммунальные услуги:</t>
  </si>
  <si>
    <t>перед собственниками помещений о выполнении договора управления многоквартирным домом за 2012 год</t>
  </si>
  <si>
    <t>"      "                              2013 год</t>
  </si>
  <si>
    <t>Смена труб ГВС и запорной арматуры стояка в подвале</t>
  </si>
  <si>
    <t>Смена полотенцесушителя (кв. 45)</t>
  </si>
  <si>
    <t>Смена трубопровода</t>
  </si>
  <si>
    <t>Замена задвижки ц/о</t>
  </si>
  <si>
    <t>Задолжен-ность населения за 2011 г.</t>
  </si>
  <si>
    <t>ИТОГО за жилищныеуслуги:</t>
  </si>
  <si>
    <t>1.6.</t>
  </si>
  <si>
    <t>1.7.</t>
  </si>
  <si>
    <t xml:space="preserve">      ул. Ленина д. 68/8    </t>
  </si>
  <si>
    <t xml:space="preserve">      ул. Ленина д. 67    </t>
  </si>
  <si>
    <t xml:space="preserve">      ул. Огарева д. 20    </t>
  </si>
  <si>
    <t xml:space="preserve">      ул. Пролетарская  д. 40    </t>
  </si>
  <si>
    <t xml:space="preserve">      ул. Чижевского д. 4    </t>
  </si>
  <si>
    <t xml:space="preserve">          1428,00 кв.м          </t>
  </si>
  <si>
    <t>Содержание и ремонт общего имущества</t>
  </si>
  <si>
    <t>Начислено в 2012 г., руб.</t>
  </si>
  <si>
    <t>Поступило средств за 2012 г., руб.</t>
  </si>
  <si>
    <t>Выполнены работы за 2012 г., руб.</t>
  </si>
  <si>
    <t>Задолжен-ность населения за 2012 г.</t>
  </si>
  <si>
    <t>Ремонт общего имущества</t>
  </si>
  <si>
    <t>1.8.</t>
  </si>
  <si>
    <t>1.9.</t>
  </si>
  <si>
    <t>1.10.</t>
  </si>
  <si>
    <t xml:space="preserve">   ул. Пионерская  д. 13/18  </t>
  </si>
  <si>
    <t xml:space="preserve">ул. Социалистическая  д. 3 </t>
  </si>
  <si>
    <t xml:space="preserve">  ул. Чичерина д. 12 корп. 1    </t>
  </si>
  <si>
    <t>ул. Телевизионная д. 6 корп. 1</t>
  </si>
  <si>
    <t>ул. Телевизионная д. 2 корп. 1</t>
  </si>
  <si>
    <t>ул. Чичерина д. 16 корп. 1</t>
  </si>
  <si>
    <t xml:space="preserve">      ул. Билибина д. 10     </t>
  </si>
  <si>
    <t xml:space="preserve">      ул. Билибина д. 26    </t>
  </si>
  <si>
    <t xml:space="preserve">      ул. Билибина д. 28   </t>
  </si>
  <si>
    <t xml:space="preserve">      ул. Ленина д. 61/5      </t>
  </si>
  <si>
    <t>заполнены</t>
  </si>
  <si>
    <t xml:space="preserve">      ул. Пролетарская д. 135</t>
  </si>
  <si>
    <t xml:space="preserve">           1934,20 кв.м          </t>
  </si>
  <si>
    <t xml:space="preserve">           2419.10 кв.м          </t>
  </si>
  <si>
    <t xml:space="preserve">      ул. Молодежная д. 41</t>
  </si>
  <si>
    <t xml:space="preserve">      ул. Солнечный бульвар д. 2</t>
  </si>
  <si>
    <t xml:space="preserve">      ул. Солнечный бульвар д. 4</t>
  </si>
  <si>
    <t xml:space="preserve">      ул. Солнечный бульвар д. 4/2</t>
  </si>
  <si>
    <t>Дополнительные услуги</t>
  </si>
  <si>
    <t>Холодное водоснабжение и водоотведение</t>
  </si>
  <si>
    <t>Горячее водоснабжение и водоотведение</t>
  </si>
  <si>
    <t>1.11.</t>
  </si>
  <si>
    <t xml:space="preserve">         1785,20 кв.м          </t>
  </si>
  <si>
    <t xml:space="preserve">      ул. Аллейная, д.2</t>
  </si>
  <si>
    <t>1.12.</t>
  </si>
  <si>
    <t>1.13.</t>
  </si>
  <si>
    <t>Уборка мест общего пользования</t>
  </si>
  <si>
    <t>Справочно:</t>
  </si>
  <si>
    <t>Нежилые помещения</t>
  </si>
  <si>
    <t>площадь</t>
  </si>
  <si>
    <t>тариф</t>
  </si>
  <si>
    <t>начислено</t>
  </si>
  <si>
    <t>оплачено</t>
  </si>
  <si>
    <t>долг</t>
  </si>
  <si>
    <t xml:space="preserve">      ул. Телевизионная д. 10     </t>
  </si>
  <si>
    <t xml:space="preserve">      ул.Дубрава д. 3    </t>
  </si>
  <si>
    <t xml:space="preserve">           722,35 кв.м          </t>
  </si>
  <si>
    <t xml:space="preserve">      ул.Дубрава д.10</t>
  </si>
  <si>
    <t xml:space="preserve">          3268,8 кв.м          </t>
  </si>
  <si>
    <t xml:space="preserve">      ул.Нефтебаза д.3</t>
  </si>
  <si>
    <t xml:space="preserve">          1788 кв.м          </t>
  </si>
  <si>
    <t xml:space="preserve">      ул.Нефтебаза д.5</t>
  </si>
  <si>
    <t xml:space="preserve">      ул.Аэропортовская д.14</t>
  </si>
  <si>
    <t xml:space="preserve">      ул.Дорожная д.11 корп.1</t>
  </si>
  <si>
    <t xml:space="preserve">      ул.Дорожная д.11 корп.2</t>
  </si>
  <si>
    <t xml:space="preserve">          2880,2 кв.м          </t>
  </si>
  <si>
    <t>Дезинсекция</t>
  </si>
  <si>
    <t>Обслуживание КПУ</t>
  </si>
  <si>
    <t>Кол-во</t>
  </si>
  <si>
    <t>Ед. изм.</t>
  </si>
  <si>
    <t>шт</t>
  </si>
  <si>
    <t>Содержание ОИ -эл/эн</t>
  </si>
  <si>
    <t>Вывоз веток</t>
  </si>
  <si>
    <t>м3</t>
  </si>
  <si>
    <t>м2</t>
  </si>
  <si>
    <t>Ремонт кровли</t>
  </si>
  <si>
    <t xml:space="preserve">Лифт </t>
  </si>
  <si>
    <t>Покраска бордюров</t>
  </si>
  <si>
    <t>Ремонт порогов</t>
  </si>
  <si>
    <t>Мусоропровод</t>
  </si>
  <si>
    <t>Дератизация</t>
  </si>
  <si>
    <t>Электроэнергия ипу, в т.ч. содерж. ОИ эл/эн</t>
  </si>
  <si>
    <t>Монтаж узла учета тепловой энергии</t>
  </si>
  <si>
    <t xml:space="preserve">      ул.Дубрава д.1</t>
  </si>
  <si>
    <t xml:space="preserve">      ул.Дубрава д.2</t>
  </si>
  <si>
    <t xml:space="preserve">      ул.Дубрава д.1 а</t>
  </si>
  <si>
    <t xml:space="preserve">           78.4 кв.м          </t>
  </si>
  <si>
    <t xml:space="preserve">      ул.Дубрава д. 4    </t>
  </si>
  <si>
    <t xml:space="preserve">      ул.Дубрава д. 5    </t>
  </si>
  <si>
    <t xml:space="preserve">           622.50 кв.м          </t>
  </si>
  <si>
    <t xml:space="preserve">      ул.Дубрава д. 6   </t>
  </si>
  <si>
    <t xml:space="preserve">      ул.Дубрава д. 9    </t>
  </si>
  <si>
    <t xml:space="preserve">      ул.Дубрава д. 11    </t>
  </si>
  <si>
    <t>3. Отчет о фактически выполненных работах по ремонту общего имущества в многоквартирном доме на основании принятого решения 
собственниками помещений</t>
  </si>
  <si>
    <t>Уборка МОП</t>
  </si>
  <si>
    <t xml:space="preserve">      ул.Аэропортовская д.9</t>
  </si>
  <si>
    <t xml:space="preserve">         900.50 кв.м          </t>
  </si>
  <si>
    <t xml:space="preserve">      ул.Грабцевское шоссе д.160</t>
  </si>
  <si>
    <t xml:space="preserve">      ул.Хрустальная д.74</t>
  </si>
  <si>
    <t xml:space="preserve">      ул.Молодежная д.46</t>
  </si>
  <si>
    <t>Обслуживание ИТП</t>
  </si>
  <si>
    <t xml:space="preserve">      ул.Грабцевское шоссе д.132 корп.1</t>
  </si>
  <si>
    <t xml:space="preserve">       9170.90 кв.м          </t>
  </si>
  <si>
    <t>Налог 1%</t>
  </si>
  <si>
    <t>Налог 1% от суммы оплаты</t>
  </si>
  <si>
    <t>Ремонт пола</t>
  </si>
  <si>
    <t>Начислено за 2019 г., руб.</t>
  </si>
  <si>
    <t>Поступило средств за 2019 г., руб.</t>
  </si>
  <si>
    <t>Выполнены работы за 2019 г., руб.</t>
  </si>
  <si>
    <t>Задолженность населения за 2019г.</t>
  </si>
  <si>
    <t>Долг населения на 31.01.2020 г.</t>
  </si>
  <si>
    <t>Остаток средст на проведение текущего ремонта по состоянию на 31.01.2020 г.</t>
  </si>
  <si>
    <t>Долг населения на 31.01.19г.</t>
  </si>
  <si>
    <t>46.69/47.63</t>
  </si>
  <si>
    <t>4.68/4.82</t>
  </si>
  <si>
    <t>2069.03/2104.62</t>
  </si>
  <si>
    <t>гор вода=28.25+(2104,62*0,0674)</t>
  </si>
  <si>
    <t>4.1.</t>
  </si>
  <si>
    <t>4.2.</t>
  </si>
  <si>
    <t>4.3.</t>
  </si>
  <si>
    <t>4.4.</t>
  </si>
  <si>
    <t xml:space="preserve">5. </t>
  </si>
  <si>
    <t>6.</t>
  </si>
  <si>
    <t>6.1.</t>
  </si>
  <si>
    <t>6.2.</t>
  </si>
  <si>
    <t>6.3.</t>
  </si>
  <si>
    <t>6.4.</t>
  </si>
  <si>
    <t>8.</t>
  </si>
  <si>
    <t>Доп. услуги</t>
  </si>
  <si>
    <t>8.1.</t>
  </si>
  <si>
    <t>8.2.</t>
  </si>
  <si>
    <t>8.3.</t>
  </si>
  <si>
    <t>8.4.</t>
  </si>
  <si>
    <t>Содержание котельной</t>
  </si>
  <si>
    <t xml:space="preserve">      ул.Нефтебаза д.1</t>
  </si>
  <si>
    <t xml:space="preserve">      ул.Нефтебаза д.2</t>
  </si>
  <si>
    <t xml:space="preserve">      ул.Хрустальная д.66</t>
  </si>
  <si>
    <t xml:space="preserve">      ул.Хрустальная д.56</t>
  </si>
  <si>
    <t xml:space="preserve">   3285,00 кв.м          </t>
  </si>
  <si>
    <t xml:space="preserve">      ул.Хрустальная д.70</t>
  </si>
  <si>
    <t xml:space="preserve">3081,40 кв.м          </t>
  </si>
  <si>
    <t xml:space="preserve">      ул.Дубрава д. 7  </t>
  </si>
  <si>
    <t xml:space="preserve">      ул.Хрустальная д.52</t>
  </si>
  <si>
    <t xml:space="preserve">      ул.Хрустальная д.62</t>
  </si>
  <si>
    <t xml:space="preserve">      ул.Гагарина д.9</t>
  </si>
  <si>
    <t xml:space="preserve">      ул.Добровольского д.14</t>
  </si>
  <si>
    <t xml:space="preserve">3308,80 кв.м          </t>
  </si>
  <si>
    <t xml:space="preserve">      ул.Чижевского д.12</t>
  </si>
  <si>
    <t xml:space="preserve">3056,10 кв.м          </t>
  </si>
  <si>
    <t>Вывоз тбо</t>
  </si>
  <si>
    <t xml:space="preserve">      ул.Болотникова д.16</t>
  </si>
  <si>
    <t xml:space="preserve">      ул.Нефтебаза д.4</t>
  </si>
  <si>
    <t xml:space="preserve">      ул.Молодежная д.48</t>
  </si>
  <si>
    <t xml:space="preserve">      ул.Чижевского д.23</t>
  </si>
  <si>
    <t xml:space="preserve">      ул.Плеханова д.2 корп.2</t>
  </si>
  <si>
    <t xml:space="preserve">      ул.Калинина д.15</t>
  </si>
  <si>
    <t>100 шт</t>
  </si>
  <si>
    <t>100 м2</t>
  </si>
  <si>
    <t>100 м</t>
  </si>
  <si>
    <t>куб/м</t>
  </si>
  <si>
    <t>Благоустройство дворовой территории</t>
  </si>
  <si>
    <t>Установка муляж камеры и наклейки</t>
  </si>
  <si>
    <t>100м</t>
  </si>
  <si>
    <t>т</t>
  </si>
  <si>
    <t>Шланг поливочный</t>
  </si>
  <si>
    <t>Благоустройство</t>
  </si>
  <si>
    <t>100шт</t>
  </si>
  <si>
    <t>Установка доводчика</t>
  </si>
  <si>
    <t>Восстановление освещения в подвале дома</t>
  </si>
  <si>
    <t>Ремонт отмостки</t>
  </si>
  <si>
    <t>компл</t>
  </si>
  <si>
    <t xml:space="preserve">      ул.Моторная д.30 А</t>
  </si>
  <si>
    <t>Уборка моп</t>
  </si>
  <si>
    <t>Смена труб канализации в подвале дома</t>
  </si>
  <si>
    <t>Дополнительные услуги (с квартиры уборка моп)</t>
  </si>
  <si>
    <t>Дополнительные услуги (уборка моп)</t>
  </si>
  <si>
    <t>Доп. Услуги (уборка моп)</t>
  </si>
  <si>
    <t>Опиловка деревьев</t>
  </si>
  <si>
    <t xml:space="preserve"> шт</t>
  </si>
  <si>
    <t>Замена канализационной трубы в подвале дома</t>
  </si>
  <si>
    <t>Начислено за 2020 г., руб.</t>
  </si>
  <si>
    <t>Поступило средств за 2020 г., руб.</t>
  </si>
  <si>
    <t>шт.</t>
  </si>
  <si>
    <t>договор</t>
  </si>
  <si>
    <t>Замена запорного крана на системе ХВС, кв.128</t>
  </si>
  <si>
    <t>Геодезические работы</t>
  </si>
  <si>
    <t>Установка розеток с заземлением и без заземления, выключателей</t>
  </si>
  <si>
    <t>товарная накладная, шт</t>
  </si>
  <si>
    <t>Формирование земельного участка под МКД, изготовление межевого плана земельных участков</t>
  </si>
  <si>
    <t>1-ых этажей        1-4 подъездов</t>
  </si>
  <si>
    <t>100 кв.м.</t>
  </si>
  <si>
    <t>кв.м.</t>
  </si>
  <si>
    <t>Десинсекция подвала</t>
  </si>
  <si>
    <t>"      "                   2021 год</t>
  </si>
  <si>
    <t xml:space="preserve">           3557,30 кв.м          </t>
  </si>
  <si>
    <t>Выполнены работы за 2020 г., руб.</t>
  </si>
  <si>
    <t>Задолженность населения за 2020г.</t>
  </si>
  <si>
    <t>4,82/5,06</t>
  </si>
  <si>
    <t>2104,62/2180,39</t>
  </si>
  <si>
    <t xml:space="preserve">         2545,88 кв.м          </t>
  </si>
  <si>
    <t>Смена трубопровода Ц/О в Поликлинике</t>
  </si>
  <si>
    <t>Ремонт рамы</t>
  </si>
  <si>
    <t>Ремонт качелей, каруселей</t>
  </si>
  <si>
    <t xml:space="preserve">           1622,80 кв.м          </t>
  </si>
  <si>
    <t>1902,11/39,62</t>
  </si>
  <si>
    <t>товарный чек</t>
  </si>
  <si>
    <t xml:space="preserve">           2863,7 кв.м          </t>
  </si>
  <si>
    <t>Смена стояка ХВС</t>
  </si>
  <si>
    <t>Дезинсекция подвала</t>
  </si>
  <si>
    <t>Инженерно-консультационные услуги Организационная подготовка  технической документации (проекта узла учета тепловой энергии)</t>
  </si>
  <si>
    <t>Монтаж узла учета тепловой энегии</t>
  </si>
  <si>
    <t>39,62/1902,11</t>
  </si>
  <si>
    <t>47,63/49,53</t>
  </si>
  <si>
    <t>Замена замка</t>
  </si>
  <si>
    <t>товарная накладная</t>
  </si>
  <si>
    <t>Замена замка на чердаке</t>
  </si>
  <si>
    <t>Покраска двери</t>
  </si>
  <si>
    <t>Установка люка на техэтаже</t>
  </si>
  <si>
    <t>Доставкак и монтаж окрашенной решетки с дверью на подвал</t>
  </si>
  <si>
    <t>Доставкак и монтаж окрашенной решетки с дверью на подвал. Устройство парапета из газобетона.</t>
  </si>
  <si>
    <t>3,37/3,54</t>
  </si>
  <si>
    <t>47.63/49,53</t>
  </si>
  <si>
    <t xml:space="preserve">          3367,10 кв.м          </t>
  </si>
  <si>
    <t xml:space="preserve">           3397,2 кв.м          </t>
  </si>
  <si>
    <t>накопления по октябрь 2020</t>
  </si>
  <si>
    <t>Смена стекол</t>
  </si>
  <si>
    <t xml:space="preserve">          2129,0 кв.м          </t>
  </si>
  <si>
    <t>100м3</t>
  </si>
  <si>
    <t>"      "                        2021 год</t>
  </si>
  <si>
    <t>Смена стояка центрального отопления</t>
  </si>
  <si>
    <t>Вывоз мусора и веток</t>
  </si>
  <si>
    <t>куб.м.</t>
  </si>
  <si>
    <t>Благоустройство дворовой территории (краска для проведения субботника)</t>
  </si>
  <si>
    <t>счет-фактура</t>
  </si>
  <si>
    <t>Уборка веток</t>
  </si>
  <si>
    <t xml:space="preserve">           4945,1 кв.м          </t>
  </si>
  <si>
    <t>Благоустройство дворовой территории (краска для субботника)</t>
  </si>
  <si>
    <t>Замена труб ГВС (кв.11)</t>
  </si>
  <si>
    <t>Замена почтовых ящиков</t>
  </si>
  <si>
    <t>Замена труб канализации и центрального отопления</t>
  </si>
  <si>
    <t xml:space="preserve">           3045,6 кв.м          </t>
  </si>
  <si>
    <t xml:space="preserve">           1282,4 кв.м          </t>
  </si>
  <si>
    <t>Валка и обрезка деревьев</t>
  </si>
  <si>
    <t xml:space="preserve">          1389,5 кв.м          </t>
  </si>
  <si>
    <t>Восстановление отопления на лестничной клетке</t>
  </si>
  <si>
    <t xml:space="preserve">          3409,8 кв.м          </t>
  </si>
  <si>
    <t xml:space="preserve">           1598,4 кв.м          </t>
  </si>
  <si>
    <t>Дополнительные услуги (уборка МОП)</t>
  </si>
  <si>
    <t>170руб/лиц. счет</t>
  </si>
  <si>
    <t>100м2</t>
  </si>
  <si>
    <t xml:space="preserve">      ул. Чичерина д. 19</t>
  </si>
  <si>
    <t xml:space="preserve">          2013,2 кв.м          </t>
  </si>
  <si>
    <t xml:space="preserve">           2067,9 кв.м          </t>
  </si>
  <si>
    <t xml:space="preserve">           4573,29 кв.м          </t>
  </si>
  <si>
    <t>Снос дерева</t>
  </si>
  <si>
    <t xml:space="preserve">           5517,20 кв.м          </t>
  </si>
  <si>
    <t>Дератизация подвала</t>
  </si>
  <si>
    <t xml:space="preserve">           2979,7 кв.м          </t>
  </si>
  <si>
    <t>1902,11/36,62</t>
  </si>
  <si>
    <t>"      "                   2021год</t>
  </si>
  <si>
    <t>Ремонт порогов при входе в подъезд</t>
  </si>
  <si>
    <t>Санитарная обрезка дерева</t>
  </si>
  <si>
    <t xml:space="preserve">           4708,5 кв.м          </t>
  </si>
  <si>
    <t>Ремонт лавок</t>
  </si>
  <si>
    <t xml:space="preserve">      ул. Тельмана  д. 10    </t>
  </si>
  <si>
    <t xml:space="preserve">           5281,7 кв.м          </t>
  </si>
  <si>
    <t>Замена запорной арматуры цо в подвале дома</t>
  </si>
  <si>
    <t>без нежилого</t>
  </si>
  <si>
    <t xml:space="preserve">           3217,2 кв.м          </t>
  </si>
  <si>
    <t>счет -фактура</t>
  </si>
  <si>
    <t>Снос деревьев</t>
  </si>
  <si>
    <t>Смена трубопровода ХВС</t>
  </si>
  <si>
    <t>Инженерно-консультационные услуги. Организационная подготовка тех.документации (проекта узла учета тепловой энергии)</t>
  </si>
  <si>
    <t>Выполнены работы       за 2020 г., руб.</t>
  </si>
  <si>
    <t>Установка системы видионаблюдения</t>
  </si>
  <si>
    <t>Игнайтер, сенсор пламени с прокладкой Пеннат</t>
  </si>
  <si>
    <t>Утепление стен</t>
  </si>
  <si>
    <t>перед собственниками помещений о выполнении договора управления многоквартирным домом за 2020 год</t>
  </si>
  <si>
    <t xml:space="preserve">          3814,6 кв.м          </t>
  </si>
  <si>
    <t>189,48/196,49</t>
  </si>
  <si>
    <t>2104.62/2180,39</t>
  </si>
  <si>
    <t>Закрытие слухового окна</t>
  </si>
  <si>
    <t>Инженерно-консультационные услуги. Организационная подготовка тех.документации (проекта узла учета тепловой знергии)</t>
  </si>
  <si>
    <t>130руб/               лиц.счет</t>
  </si>
  <si>
    <t xml:space="preserve">          3098,6 кв.м          </t>
  </si>
  <si>
    <t>Дополнительные услуги                                                           (уборка мест общего пользовния)</t>
  </si>
  <si>
    <t>Услуги по обращнию с расходами</t>
  </si>
  <si>
    <t>Благоустройство дворовой территории (субботник)</t>
  </si>
  <si>
    <t>1445,58/1514,21</t>
  </si>
  <si>
    <t xml:space="preserve">         3190,8 кв.м          </t>
  </si>
  <si>
    <t xml:space="preserve">      ул. Московская д. 167  </t>
  </si>
  <si>
    <t xml:space="preserve">          3424,3 кв.м          </t>
  </si>
  <si>
    <t xml:space="preserve">7. </t>
  </si>
  <si>
    <t>Замена шкива ограничителя скорости и работы по замене каната ограничителя скорости на лифте</t>
  </si>
  <si>
    <t>Установка электросчетчика</t>
  </si>
  <si>
    <t>Электроэнергия на содержание ОИ -ЭЭ</t>
  </si>
  <si>
    <t>расчетный тариф</t>
  </si>
  <si>
    <t xml:space="preserve">Расходы по обслуживанию крышной котельной </t>
  </si>
  <si>
    <t xml:space="preserve">        4077,2 кв.м          </t>
  </si>
  <si>
    <t>Дезинсекция,дератизация</t>
  </si>
  <si>
    <t>Аренда измельчителя древесины с оператором</t>
  </si>
  <si>
    <t>час</t>
  </si>
  <si>
    <t xml:space="preserve">          2071,5 кв.м          </t>
  </si>
  <si>
    <t>Услуги по обращению с отходами</t>
  </si>
  <si>
    <t>Изготовление и установка металлоконструкции и домофона</t>
  </si>
  <si>
    <t>4.82/5,06</t>
  </si>
  <si>
    <t>Вывоз мусора и  веток</t>
  </si>
  <si>
    <t>Услуги экскаватора-погрузчика</t>
  </si>
  <si>
    <t>Копия технического паспорта из БТИ</t>
  </si>
  <si>
    <t xml:space="preserve">5441,3 кв.м          </t>
  </si>
  <si>
    <t xml:space="preserve">         3988,5   кв.м          </t>
  </si>
  <si>
    <t xml:space="preserve">Дезинсекция </t>
  </si>
  <si>
    <t xml:space="preserve">           2597,8 кв.м          </t>
  </si>
  <si>
    <t>Табличка "ведется видионаблюдение"</t>
  </si>
  <si>
    <t>Десинсекция</t>
  </si>
  <si>
    <t>Замена стояка центрального отопления</t>
  </si>
  <si>
    <t>Долг населения на 31.01.20 г.</t>
  </si>
  <si>
    <t>Долг населения на 31.01.2021 г.</t>
  </si>
  <si>
    <t xml:space="preserve">           3683,00 кв.м          </t>
  </si>
  <si>
    <t>Электроэнергия, содержание ОИ -эл/эн</t>
  </si>
  <si>
    <t>193,52/196,49</t>
  </si>
  <si>
    <t>Восстановленин освещения в коридоре</t>
  </si>
  <si>
    <t>Замена запорной арматуры ГВС</t>
  </si>
  <si>
    <t xml:space="preserve">1589,5 кв.м          </t>
  </si>
  <si>
    <t>Инвентарь для уборки пдъездов</t>
  </si>
  <si>
    <t>Замена светильников</t>
  </si>
  <si>
    <t>Установка уличных светильников</t>
  </si>
  <si>
    <t>Ремонт входа в подъезд</t>
  </si>
  <si>
    <t xml:space="preserve">      ул.А.Королева д.29</t>
  </si>
  <si>
    <t xml:space="preserve">1252,2 кв.м          </t>
  </si>
  <si>
    <t xml:space="preserve">      ул.Суворова д.153 корп.5</t>
  </si>
  <si>
    <t>Смена запорной арматуры отопления</t>
  </si>
  <si>
    <t xml:space="preserve">2507,5 кв.м          </t>
  </si>
  <si>
    <t xml:space="preserve">      ул.65 лет Победы д.29</t>
  </si>
  <si>
    <t>173,70/180,14</t>
  </si>
  <si>
    <t xml:space="preserve">22675,3 кв.м          </t>
  </si>
  <si>
    <t>Замок врезной</t>
  </si>
  <si>
    <t>Услуги нотариуса</t>
  </si>
  <si>
    <t>справка</t>
  </si>
  <si>
    <t>Ремонт ПДК с заменой БУАД на лифте</t>
  </si>
  <si>
    <t>Замена канализационного выпуска</t>
  </si>
  <si>
    <t>Замена крана на стояке ХВС в подвале дома</t>
  </si>
  <si>
    <t>Смена кранв на системе отопления на чердаке</t>
  </si>
  <si>
    <t xml:space="preserve">Замена кран-фильтра на системе ГВС и ХВС </t>
  </si>
  <si>
    <t>Замена крана на системе отопления</t>
  </si>
  <si>
    <t>Ремонт тамбурных дверей</t>
  </si>
  <si>
    <t>Выполнены работы         за 2020 г., руб.</t>
  </si>
  <si>
    <t>Угол, дорожки, порожки</t>
  </si>
  <si>
    <t xml:space="preserve">3530,6 кв.м          </t>
  </si>
  <si>
    <t>Швеллер дляандуса</t>
  </si>
  <si>
    <t>Смена стояка на системе ХВС</t>
  </si>
  <si>
    <t xml:space="preserve">   4534,7 кв.м          </t>
  </si>
  <si>
    <t>Выполнены работы за        2020 г., руб.</t>
  </si>
  <si>
    <t xml:space="preserve">   3291,29 кв.м          </t>
  </si>
  <si>
    <t>Замена фрагмента трубы на системе ХВС</t>
  </si>
  <si>
    <t>Долг населения на 01.01.20 г.</t>
  </si>
  <si>
    <t xml:space="preserve">    4632,08 кв.м          </t>
  </si>
  <si>
    <t>Смена стояка канилизации</t>
  </si>
  <si>
    <t>Демонтаж,изготовление, доставка и монтаж надподъездных козырьков</t>
  </si>
  <si>
    <t>Ремонт дверного проема</t>
  </si>
  <si>
    <t xml:space="preserve">        4567.60 кв.м          </t>
  </si>
  <si>
    <t>39,92/1902,11</t>
  </si>
  <si>
    <t>Замена трубы канализации в подвале дома</t>
  </si>
  <si>
    <t>Начислено за 2020г., руб.</t>
  </si>
  <si>
    <t>Строительно-техническая экспертиза по возникновению трещин</t>
  </si>
  <si>
    <t>Замена манометрана стояке ХВС</t>
  </si>
  <si>
    <t>Установка насосана системе ХВС в подвале дома</t>
  </si>
  <si>
    <t>Установка задвижки на системе пожаротушения</t>
  </si>
  <si>
    <t>Замена фотореле в подъезде</t>
  </si>
  <si>
    <t>Установка балансировочных клапанов на системе отопления</t>
  </si>
  <si>
    <t>Замена крана на радиаторе</t>
  </si>
  <si>
    <t>Установка балансировочных клапанов со сливом</t>
  </si>
  <si>
    <t>Канцелярия для совета дома</t>
  </si>
  <si>
    <t>3.37/3,54</t>
  </si>
  <si>
    <t>Электроэнергия, электроэнергия на СОИ</t>
  </si>
  <si>
    <t>Горячее водоснабжение  и водоотведение</t>
  </si>
  <si>
    <t>181,54/210,23</t>
  </si>
  <si>
    <t>2154,6/2232,17</t>
  </si>
  <si>
    <t>Реагент для удаления известковых и коррозийных отложений</t>
  </si>
  <si>
    <t>1959,00/2009,93</t>
  </si>
  <si>
    <t>169,87/174,95</t>
  </si>
  <si>
    <t xml:space="preserve">       10246,3 кв.м          </t>
  </si>
  <si>
    <t>Ремонт дверей под.2</t>
  </si>
  <si>
    <t>договор  ООО "РТК-сервис"</t>
  </si>
  <si>
    <t>3,54/5,06</t>
  </si>
  <si>
    <t>179,67/185</t>
  </si>
  <si>
    <t>Восстановление поста приказов после вандальных действий на лифте</t>
  </si>
  <si>
    <t>Установка освещения на фасаде дома</t>
  </si>
  <si>
    <t>Замена фрагмента трубы на системе ГВС</t>
  </si>
  <si>
    <t>Установка розеток в подвале дома</t>
  </si>
  <si>
    <t>Замена радиатора</t>
  </si>
  <si>
    <t xml:space="preserve">         9268,1 кв.м          </t>
  </si>
  <si>
    <t>Замена запорного крана на системе ГВС</t>
  </si>
  <si>
    <t>Замена запореной арматуры на радиаторе отопления</t>
  </si>
  <si>
    <t>Замена радиатора отопления в подъезде</t>
  </si>
  <si>
    <t>Замена воздухоотводчика на системе отопления</t>
  </si>
  <si>
    <t>Замена радиатора кв.119</t>
  </si>
  <si>
    <t>Замена редуктора лифтовой лебедки п.№3</t>
  </si>
  <si>
    <t>Замена запорного крана на радиаторе отопления кв.57</t>
  </si>
  <si>
    <t xml:space="preserve">      ул. Солнечный бульвар д.4/1</t>
  </si>
  <si>
    <t xml:space="preserve">        2275,97 кв.м          </t>
  </si>
  <si>
    <t>Реализация камеры видионаблюдения</t>
  </si>
  <si>
    <t>Изготовление пандуса для подъезда</t>
  </si>
  <si>
    <t>Монтаж изделия</t>
  </si>
  <si>
    <t>Допуслуги</t>
  </si>
  <si>
    <t xml:space="preserve">        5533,7 кв.м          </t>
  </si>
  <si>
    <t>Устройство громоотвода</t>
  </si>
  <si>
    <t>Установка насоса на систему ГВС в подвале дома</t>
  </si>
  <si>
    <t>Изготовление поручней для подъезда</t>
  </si>
  <si>
    <t xml:space="preserve"> 4383,1 кв.м          </t>
  </si>
  <si>
    <t>Доп.услуги (обслуживание крышной котельной)</t>
  </si>
  <si>
    <t>Остаток средств на проведение текущего ремонта по состоянию на 31.01.2020 г.</t>
  </si>
  <si>
    <t>Замена вкладышей башмака кабины и противовеса, ремонт верхней балки противовеса, замена ИБП станции управления МЖД</t>
  </si>
  <si>
    <t>Ремонт вызывного поста с заменой нопки вызова</t>
  </si>
  <si>
    <t>Смена трубопровода ГВС</t>
  </si>
  <si>
    <t xml:space="preserve">      ул.Солнечный бульвар, д. 20</t>
  </si>
  <si>
    <t>Решетка с дверью на лестничный марш с доставкой и монтажом изделия</t>
  </si>
  <si>
    <t>Ремонт дверей в подвале</t>
  </si>
  <si>
    <t>Ремонт дверей выхода на техэтаж</t>
  </si>
  <si>
    <t>Торцевое уплотнение</t>
  </si>
  <si>
    <t>Двигатель 750Вт</t>
  </si>
  <si>
    <t>Сервопривод воздушной заслонки</t>
  </si>
  <si>
    <t xml:space="preserve">       9080,2 кв.м          </t>
  </si>
  <si>
    <t xml:space="preserve">         8435.90 кв.м          </t>
  </si>
  <si>
    <t>Замена участка трубы ХВС в подвале дома</t>
  </si>
  <si>
    <t>Замена крана на системе ХВС кв.22</t>
  </si>
  <si>
    <t>Замена крана на системе отопления в подвале</t>
  </si>
  <si>
    <t xml:space="preserve">          2672,9 кв.м          </t>
  </si>
  <si>
    <t>Замена фрагмента трубы канализации в подвале дома</t>
  </si>
  <si>
    <t xml:space="preserve">          5357,6 кв.м          </t>
  </si>
  <si>
    <t>178,96/191,04</t>
  </si>
  <si>
    <t>Установление светильников в подъезде №1</t>
  </si>
  <si>
    <t>Установление светильников в подъезде №2</t>
  </si>
  <si>
    <t>Установление светильников в подъезде №3</t>
  </si>
  <si>
    <t>Замена воздухоотводчика</t>
  </si>
  <si>
    <t>Змена фрагмента трубы канализации в подвале дома</t>
  </si>
  <si>
    <t>Техническое обследование помещений подвала</t>
  </si>
  <si>
    <t>Задолженность населения за 2020г., руб.</t>
  </si>
  <si>
    <t>с Октября</t>
  </si>
  <si>
    <t xml:space="preserve"> 619,81 кв.м          </t>
  </si>
  <si>
    <t>Инженерно-консультационные услуги.Организационная подготовка тех.документации(проекта узла учета тепловой энергии)</t>
  </si>
  <si>
    <t>Установка конька на крыше</t>
  </si>
  <si>
    <t>Герметизация труб в лотке в подвале</t>
  </si>
  <si>
    <t>Замена фрагмента трубы в канализации кв.21</t>
  </si>
  <si>
    <t>Фанера</t>
  </si>
  <si>
    <t>Замена запорной арматуры на системе ЦО в подвале дома</t>
  </si>
  <si>
    <t xml:space="preserve">          1987,05 кв.м          </t>
  </si>
  <si>
    <t xml:space="preserve">2607,60 кв.м          </t>
  </si>
  <si>
    <t xml:space="preserve"> 1348,3 кв.м          </t>
  </si>
  <si>
    <t xml:space="preserve">           734.50 кв.м          </t>
  </si>
  <si>
    <t>Кран шаровый стальной</t>
  </si>
  <si>
    <t>Смена запорной арматуры на системе отопления в подвале дома</t>
  </si>
  <si>
    <t>Доп.услуги</t>
  </si>
  <si>
    <t>Остаток средств на проведение капитального ремонта по состоянию на 31.01.2020 г.</t>
  </si>
  <si>
    <t>Остаток средств на проведение капитального ремонта по состоянию на 31.01.2021 г.</t>
  </si>
  <si>
    <t>Остаток средств на проведение текущего ремонта по состоянию на 31.01.2021 г.</t>
  </si>
  <si>
    <t>130 на лиц.счет</t>
  </si>
  <si>
    <t>начислений нет</t>
  </si>
  <si>
    <t>Доп. услуги (подъезд №2)</t>
  </si>
  <si>
    <t xml:space="preserve">Ремонт общего имущества </t>
  </si>
  <si>
    <t>Остаток средсты на проведение капитального ремонта по состоянию на 31.01.2021 г.</t>
  </si>
  <si>
    <t>Остаток средств на проведение капитального ремонта по состоянию на 31.12.2020 г.</t>
  </si>
  <si>
    <t>Остаток средств на проведение текущего ремонта по состоянию на 31.12.2020 г.</t>
  </si>
  <si>
    <t>Дополнительные услуги                                                           (уборка мест общего пользования)</t>
  </si>
  <si>
    <t xml:space="preserve">           2214,3 кв.м          </t>
  </si>
  <si>
    <t xml:space="preserve"> 15126,9   кв.м. </t>
  </si>
  <si>
    <t>Остаток средств на проведение текущего ремонта по состоянию на 31.01.20 г.</t>
  </si>
  <si>
    <t>Остаток средств на проведение планового ремонта по состоянию на 31.01.20 г.</t>
  </si>
  <si>
    <t>Остаток средств накопления на плановый ремонт по состоянию на 31.01.2021 г.</t>
  </si>
  <si>
    <t>Обслуживание крышной газовой котельной</t>
  </si>
  <si>
    <t>Остаток средств на содержание крышной котельной по  состоянию на 31.01.20 г.</t>
  </si>
  <si>
    <t>Дополнительные услуги (на лицевой счет)</t>
  </si>
  <si>
    <t>Остаток средств на содержание крышной котельной по  состоянию на 31.01.21 г.</t>
  </si>
  <si>
    <t>Остаток средств планового ремонта по состоянию на 31.01.2021 г.</t>
  </si>
  <si>
    <t xml:space="preserve">7250,82 кв.м          </t>
  </si>
  <si>
    <t>1.14.</t>
  </si>
  <si>
    <t>Снятие показиний ОДПУ по договору</t>
  </si>
  <si>
    <t xml:space="preserve">3582,4 кв.м          </t>
  </si>
  <si>
    <t>неж</t>
  </si>
  <si>
    <t>Доп. Услуги (на лицевой счет)</t>
  </si>
  <si>
    <t xml:space="preserve">           2559,1 кв.м          </t>
  </si>
  <si>
    <t>50 квартир</t>
  </si>
  <si>
    <t xml:space="preserve">           898,4 кв.м          </t>
  </si>
  <si>
    <t xml:space="preserve">637,03 кв.м          </t>
  </si>
  <si>
    <t>Гаражи</t>
  </si>
  <si>
    <t>Водоотведение ОИ</t>
  </si>
  <si>
    <t>Горячее водоснабжение ОИ</t>
  </si>
  <si>
    <t>Холодное водоснабжение ОИ</t>
  </si>
  <si>
    <t>Долг населения на 31.01.2021г.</t>
  </si>
  <si>
    <t xml:space="preserve">3919,4 кв.м          </t>
  </si>
  <si>
    <t xml:space="preserve">           3502,7 кв.м          </t>
  </si>
  <si>
    <t>Остаток средств на проведение капитального ремонта по состоянию на 31.01.2020г.</t>
  </si>
  <si>
    <t>Остаток средств на проведение текущего ремонта по состоянию на 31.01.2020г.</t>
  </si>
  <si>
    <t xml:space="preserve">          1740,60 кв.м          </t>
  </si>
  <si>
    <t xml:space="preserve">           3121,0 кв.м          </t>
  </si>
  <si>
    <t>Долг населения на 31.01.20г.</t>
  </si>
  <si>
    <t>Остаток средств на проведение капитального ремонта по состоянию на 31.01.20 г.</t>
  </si>
  <si>
    <t xml:space="preserve">           799,9 кв.м          </t>
  </si>
  <si>
    <t>Смена запорной арматуры на системе ЦО в подвале дома</t>
  </si>
  <si>
    <t xml:space="preserve">           719,0 кв.м          </t>
  </si>
  <si>
    <t>Снос и омолаживающая обрезка деревьев</t>
  </si>
  <si>
    <t>Краска акриловая</t>
  </si>
  <si>
    <t>Кран шаровый   стальной</t>
  </si>
  <si>
    <t>Замена участка трубы на системе ХВС</t>
  </si>
  <si>
    <t>Замена запорной арматуры на системе отопления в подвале дома</t>
  </si>
  <si>
    <t>Инженерно-консультационные услуги. Организационная подготовка технической документации (проекта узла учета тепловой энергии)</t>
  </si>
  <si>
    <t>Смена стекол (под.1)</t>
  </si>
  <si>
    <t>Промывка сетей ВКХ</t>
  </si>
  <si>
    <t>счет</t>
  </si>
  <si>
    <t xml:space="preserve">           1278,2 кв.м          </t>
  </si>
  <si>
    <t>Замена трубы канализации кв.1</t>
  </si>
  <si>
    <t>Замена стояка на системе ХВС кв.1</t>
  </si>
  <si>
    <t xml:space="preserve">           1994,6 кв.м          </t>
  </si>
  <si>
    <t>Долг населения на 01.04.2020 г.</t>
  </si>
  <si>
    <t>Остаток средств на проведение текущего ремонта по состоянию на 01.04.2020 г.</t>
  </si>
  <si>
    <t xml:space="preserve">           1900,00 кв.м          </t>
  </si>
  <si>
    <t>Петля, проушина</t>
  </si>
  <si>
    <t>Замена кранов на стояке отопления в подвале дома</t>
  </si>
  <si>
    <t>Установка заглушки на системе отопления в подвале дома</t>
  </si>
  <si>
    <t>Замена фрагмента трубы канализации (кв.28)</t>
  </si>
  <si>
    <t xml:space="preserve">           3706.1 кв.м          </t>
  </si>
  <si>
    <t>замена фрагмента трубы канализации кв.13</t>
  </si>
  <si>
    <t>Замена трубы на системе отопления в подвале дома</t>
  </si>
  <si>
    <t xml:space="preserve">          2552,4 кв.м          </t>
  </si>
  <si>
    <t>Допуслуги (уборка МОП)</t>
  </si>
  <si>
    <t>Окраска газовой трубы</t>
  </si>
  <si>
    <t>Окраска леерного ограждения</t>
  </si>
  <si>
    <t>Благоустройство двора</t>
  </si>
  <si>
    <t>Окна ПВХ</t>
  </si>
  <si>
    <t>Отлив</t>
  </si>
  <si>
    <t>Ремонт электропроводки в подвале дома</t>
  </si>
  <si>
    <t>Установка хомутов на системе ХВС</t>
  </si>
  <si>
    <t xml:space="preserve">      ул.Кооперативная д.1/2</t>
  </si>
  <si>
    <t xml:space="preserve">7582,1 кв.м          </t>
  </si>
  <si>
    <t>Доп.услуги (уборка МОП)</t>
  </si>
  <si>
    <t xml:space="preserve">       15230,3 кв.м          </t>
  </si>
  <si>
    <t>8.0.</t>
  </si>
  <si>
    <t>Размещение оборудования операторами связи                     за 2019-2020гг.</t>
  </si>
  <si>
    <t xml:space="preserve">Размещение оборудования операторами связи </t>
  </si>
  <si>
    <t>Размещение оборудования операторами связи за период 2016-2020гг.</t>
  </si>
  <si>
    <t>Размещение оборудования операторами связи за период 2017-2020гг.</t>
  </si>
  <si>
    <t>учтена</t>
  </si>
  <si>
    <t xml:space="preserve">         7358,7 кв.м          </t>
  </si>
  <si>
    <t>Остаток средств на проведение текущего ремонта по состоянию на 31.01.2021 г. (с учетом нежилых помещений)</t>
  </si>
  <si>
    <t>9.</t>
  </si>
  <si>
    <t>Ремонт общего имущества нежилые помещения за период 2016-2020гг.</t>
  </si>
  <si>
    <t>Нежилые помещения, 2020 год</t>
  </si>
  <si>
    <t>Поверка узла учета тепловой энергии</t>
  </si>
  <si>
    <t>Дверь стальная двупольная</t>
  </si>
  <si>
    <t>Дверь ПВХ</t>
  </si>
  <si>
    <t>Подоконник ПВХ</t>
  </si>
  <si>
    <t>Инженерно-геодезические работы по выполнению корректуры топографической съемки и составлению плана и схемы расположения земельного участка</t>
  </si>
  <si>
    <t>Выполнение кадастровых работ по формированию межевых планов в соответствии с утвержденным проектом межевания территории ограниченной ул.Маяковского, б-р Солнечный и Грабцевским шоссе в отношении МКД ,расположенных по адресу : г.Калуга, ул.Молодежная, д.46,48</t>
  </si>
  <si>
    <t>Поверка прибора  учета газа</t>
  </si>
  <si>
    <t>Размещение оборудования операторами связи</t>
  </si>
  <si>
    <t>Профиль угловойПУ 71.1350.001 с черной ПВХ  вставкой</t>
  </si>
  <si>
    <t>Профиль угловойПУ 71.900.001 с черной ПВХ  вставкой</t>
  </si>
  <si>
    <t>Фанера 4мм ФК (4/4),Размер 1525*1525/в в уп.100шт</t>
  </si>
  <si>
    <t>Дверное полотно ДПГ гладкое 90*200 итальянский орех финиш-пленка Верда</t>
  </si>
  <si>
    <t>Замена канализационной трубы</t>
  </si>
  <si>
    <t>Техническое диагностирование внутридомового газового оборудования</t>
  </si>
  <si>
    <t>Содержание и обслуживание крышной котельной</t>
  </si>
  <si>
    <t>Долг населения на 01.08.20 г.</t>
  </si>
  <si>
    <t>Остаток средств на проведение текущего ремонта по состоянию на 01.08.20 г.</t>
  </si>
  <si>
    <t>Долг населения на 01.12.20 г.</t>
  </si>
  <si>
    <t>Остаток средств на проведение текущего ремонта по состоянию на 01.12.20 г.</t>
  </si>
  <si>
    <t>Долг населения на 01.05.20 г.</t>
  </si>
  <si>
    <t>Остаток средств на проведение текущего ремонта по состоянию на 01.05.20 г.</t>
  </si>
  <si>
    <t>Долг населения на 01.02.20 г.</t>
  </si>
  <si>
    <t>Остаток средств на проведение капитального ремонта по состоянию на 01.02.2020 г.</t>
  </si>
  <si>
    <t>Долг населения на 01.03.20 г.</t>
  </si>
  <si>
    <t>Остаток средств на проведение текущего ремонта по состоянию на 01.03.20 г.</t>
  </si>
  <si>
    <t>Остаток средств на содержание крышной котельной по  состоянию на 01.03.20 г.</t>
  </si>
  <si>
    <t>договор, акт</t>
  </si>
  <si>
    <t>15 пог.м.</t>
  </si>
  <si>
    <t xml:space="preserve">Коврик ячеистый, грязесборный 80*120*1,6см </t>
  </si>
  <si>
    <t>Оказание юридических услуг  для подготовки искового заявления в Калужский районный суд Калужской области  об установлении границ земельного участка , представление интересов в суде</t>
  </si>
  <si>
    <t>ВРН 120/280.50Т циркуляционный насос  с доставкой</t>
  </si>
  <si>
    <t>Замена участка трубы на системе канализации</t>
  </si>
  <si>
    <t>Замена запорной арматуры на стояке отопления в подвале дома</t>
  </si>
  <si>
    <t>Ремонт шиферной кровли</t>
  </si>
  <si>
    <t>Блок горелок в сборе Пеннант</t>
  </si>
  <si>
    <t>Замена крана на системе центрального отопления (кв.38)</t>
  </si>
  <si>
    <t xml:space="preserve">      ул.Нефтебаза д.6</t>
  </si>
  <si>
    <t xml:space="preserve">          2380,8 кв.м          </t>
  </si>
  <si>
    <t>Покрытие щетинистое Альфа-стиль 179 (синий) -0,9м</t>
  </si>
  <si>
    <t>Содержание крышной котельной</t>
  </si>
  <si>
    <t>Доп. Услуги (уборка моп на лицевой счет)</t>
  </si>
  <si>
    <t>Ремонт подъездов</t>
  </si>
  <si>
    <t>Изготовление и установка пандуса</t>
  </si>
  <si>
    <t>Ремонт балконных плит</t>
  </si>
  <si>
    <t>Демонтаж плиты</t>
  </si>
  <si>
    <t>Ремонт надбалконных козырьков</t>
  </si>
  <si>
    <t>Установка поручня</t>
  </si>
  <si>
    <t>Освидетельствование лифтов</t>
  </si>
  <si>
    <t>Демонтаж и монтаж пола</t>
  </si>
  <si>
    <t>Ремонт балконной плиты</t>
  </si>
  <si>
    <t>Ремонт порога</t>
  </si>
  <si>
    <t>Ремонт вентканалов</t>
  </si>
  <si>
    <t>Поверка прибора учета тепловой энергии</t>
  </si>
  <si>
    <t>Герметизация швов</t>
  </si>
  <si>
    <t>Ремонт балкона и покрытия</t>
  </si>
  <si>
    <t>Ремонт системы отопления</t>
  </si>
  <si>
    <t>Благоустройство территории</t>
  </si>
  <si>
    <t>Установка кранов на системе отопления</t>
  </si>
  <si>
    <t>2.1.</t>
  </si>
  <si>
    <t>2.2.</t>
  </si>
  <si>
    <t>1.15.</t>
  </si>
  <si>
    <t>Установка задвижек</t>
  </si>
  <si>
    <t>Ремонт кровли кв.63</t>
  </si>
  <si>
    <t>Ремонт парапета</t>
  </si>
  <si>
    <t>Разметка парковки</t>
  </si>
  <si>
    <t>2.0.</t>
  </si>
  <si>
    <t>договор с ООО "РТК-сервис"</t>
  </si>
  <si>
    <t>Пружины</t>
  </si>
  <si>
    <t>Швеллер (пандус)</t>
  </si>
  <si>
    <t>Коврики резиновые</t>
  </si>
  <si>
    <t>1.16.</t>
  </si>
  <si>
    <t>1.17.</t>
  </si>
  <si>
    <t>1.18.</t>
  </si>
  <si>
    <t>1.19.</t>
  </si>
  <si>
    <t>Радиатор ни 8 секций</t>
  </si>
  <si>
    <t>Блок питания 10ВР220-12Д</t>
  </si>
  <si>
    <t>Урна</t>
  </si>
  <si>
    <t>Косметический ремонт подъезда №1</t>
  </si>
  <si>
    <t>Косметический ремонт подъезда №2</t>
  </si>
  <si>
    <t>Косметический ремонт подъезда №3</t>
  </si>
  <si>
    <t>Косметический ремонт подъезда №4</t>
  </si>
  <si>
    <t>Косметический ремонт подъезда №7</t>
  </si>
  <si>
    <t>Косметический ремонт подъезда №6</t>
  </si>
  <si>
    <t>Косметический ремонт подъезда №5</t>
  </si>
  <si>
    <t>Замена воздухоотводчиков на системе отопления</t>
  </si>
  <si>
    <t>Стеклопакет 32мм</t>
  </si>
  <si>
    <t>Стеклопакеты</t>
  </si>
  <si>
    <t>Решетка на ливневку</t>
  </si>
  <si>
    <t>Ремонт дверей входа</t>
  </si>
  <si>
    <t>Реле давления</t>
  </si>
  <si>
    <t>Насос</t>
  </si>
  <si>
    <t>Редуктор на котел</t>
  </si>
  <si>
    <t>2.3.</t>
  </si>
  <si>
    <t>2.4.</t>
  </si>
  <si>
    <t>2.5.</t>
  </si>
  <si>
    <t>2.6.</t>
  </si>
  <si>
    <t>2.7.</t>
  </si>
  <si>
    <t>Замена датчика движения</t>
  </si>
  <si>
    <t>Ремонт балкона</t>
  </si>
  <si>
    <t>Герметизация двери</t>
  </si>
  <si>
    <t>Задвижки</t>
  </si>
  <si>
    <t>Обслуживание по договору</t>
  </si>
  <si>
    <t xml:space="preserve">2. </t>
  </si>
  <si>
    <t>Электропривод</t>
  </si>
  <si>
    <t>Обрамление плитки металлом</t>
  </si>
  <si>
    <t>Ремонт балконов</t>
  </si>
  <si>
    <t>00м2</t>
  </si>
  <si>
    <t>Установление светильников в подъезде №4</t>
  </si>
  <si>
    <t>Ремонт подъезда</t>
  </si>
  <si>
    <t>Материалы для ремонта</t>
  </si>
  <si>
    <t>Замена запорной арматуры на ХВС кв.7</t>
  </si>
  <si>
    <t>Услуги трактора</t>
  </si>
  <si>
    <t>Устройство продухов</t>
  </si>
  <si>
    <t>Ремонт подъездов №1-4</t>
  </si>
  <si>
    <t xml:space="preserve">Замена труб канализации </t>
  </si>
  <si>
    <t>Установка блока питания, тепловычислителя на системе отопления в подвале дома</t>
  </si>
  <si>
    <t>ТепловычислительТВК-02 (литиевым элементом питания габарита АА)</t>
  </si>
  <si>
    <t>Монтаж профнастила навесы над окнами подвала</t>
  </si>
  <si>
    <t>Тех.заключение конструктивных элементов, системы центрального отопления</t>
  </si>
  <si>
    <t>Смена ливневой трубы в подъезде</t>
  </si>
  <si>
    <t>Замена канализационой трубы в подъезде №3</t>
  </si>
  <si>
    <t>Ремонт тамбуров и лестничных клеток 1 этажей под.1-4</t>
  </si>
  <si>
    <t>Замена кранов на системе ХВС и ГВС кв.16</t>
  </si>
  <si>
    <t>Ремонт кровли кв.45</t>
  </si>
  <si>
    <t>Ремонт кровли кв.74</t>
  </si>
  <si>
    <t>Утепление стен кв.123</t>
  </si>
  <si>
    <t>Утепление стен кв.36</t>
  </si>
  <si>
    <t>Дополнительные услуги (уборка моп на лицевой счет)</t>
  </si>
  <si>
    <t>Ремонт кровли п.1</t>
  </si>
  <si>
    <t>Ремонт ограничителя скорости и замена каната ограничителя скорости на лифте п.1</t>
  </si>
  <si>
    <t>Утепление стен кв.48</t>
  </si>
  <si>
    <t>Замена манжета для унитаза кв.44</t>
  </si>
  <si>
    <t>Замена кран-фильтра на системе ГВС и ХВС  кв.198</t>
  </si>
  <si>
    <t>Единый налог в связи с примененем УСН за 2020 год</t>
  </si>
  <si>
    <t>Единый налог в связи с примененим УСН за 2019-2020 гг.</t>
  </si>
  <si>
    <t>Плановый   ремонт общего имущества</t>
  </si>
  <si>
    <t>Плановый  ремонт общего имущества</t>
  </si>
  <si>
    <t>Плановый ремонт общего имущества</t>
  </si>
  <si>
    <t>Остаток средств на проведение текущего ремонта по состоянию на 01.02.2020 г.</t>
  </si>
  <si>
    <t>10.</t>
  </si>
  <si>
    <t>Остаток неиспользованных сумм на ремонт общего имущества ошибочно неучтенных в финансовом отчете за 2016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</si>
</sst>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#,##0.000000"/>
    <numFmt numFmtId="166" formatCode="#,##0.000"/>
    <numFmt numFmtId="167" formatCode="#,##0.00000"/>
    <numFmt numFmtId="168" formatCode="#,##0.0000"/>
    <numFmt numFmtId="169" formatCode="0.000"/>
    <numFmt numFmtId="170" formatCode="#,##0.000_р_."/>
    <numFmt numFmtId="171" formatCode="0.0"/>
    <numFmt numFmtId="172" formatCode="#,##0.0000_р_."/>
    <numFmt numFmtId="173" formatCode="0.000000"/>
    <numFmt numFmtId="174" formatCode="0.00000"/>
    <numFmt numFmtId="175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Calibri"/>
      <family val="2"/>
    </font>
    <font>
      <b/>
      <i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name val="Calibri"/>
      <family val="2"/>
    </font>
    <font>
      <sz val="9"/>
      <color indexed="10"/>
      <name val="Times New Roman"/>
      <family val="1"/>
    </font>
    <font>
      <b/>
      <i/>
      <sz val="11"/>
      <name val="Calibri"/>
      <family val="2"/>
    </font>
    <font>
      <sz val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6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vertical="top"/>
    </xf>
    <xf numFmtId="0" fontId="2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8" fillId="0" borderId="10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horizontal="center" wrapText="1"/>
    </xf>
    <xf numFmtId="2" fontId="8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2" fontId="6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6" fillId="0" borderId="0" xfId="0" applyFont="1" applyAlignment="1">
      <alignment vertical="top"/>
    </xf>
    <xf numFmtId="16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/>
    </xf>
    <xf numFmtId="4" fontId="11" fillId="0" borderId="10" xfId="0" applyNumberFormat="1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164" fontId="11" fillId="0" borderId="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0" fontId="11" fillId="33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wrapText="1"/>
    </xf>
    <xf numFmtId="0" fontId="16" fillId="33" borderId="10" xfId="0" applyFont="1" applyFill="1" applyBorder="1" applyAlignment="1">
      <alignment horizontal="center" vertical="center"/>
    </xf>
    <xf numFmtId="164" fontId="11" fillId="33" borderId="10" xfId="0" applyNumberFormat="1" applyFont="1" applyFill="1" applyBorder="1" applyAlignment="1">
      <alignment horizontal="center" vertical="center"/>
    </xf>
    <xf numFmtId="4" fontId="16" fillId="33" borderId="10" xfId="0" applyNumberFormat="1" applyFont="1" applyFill="1" applyBorder="1" applyAlignment="1">
      <alignment wrapText="1"/>
    </xf>
    <xf numFmtId="0" fontId="13" fillId="33" borderId="0" xfId="0" applyFont="1" applyFill="1" applyAlignment="1">
      <alignment wrapText="1"/>
    </xf>
    <xf numFmtId="0" fontId="14" fillId="33" borderId="0" xfId="0" applyFont="1" applyFill="1" applyAlignment="1">
      <alignment/>
    </xf>
    <xf numFmtId="4" fontId="11" fillId="33" borderId="10" xfId="0" applyNumberFormat="1" applyFont="1" applyFill="1" applyBorder="1" applyAlignment="1">
      <alignment horizontal="left" wrapText="1"/>
    </xf>
    <xf numFmtId="164" fontId="63" fillId="0" borderId="11" xfId="0" applyNumberFormat="1" applyFont="1" applyBorder="1" applyAlignment="1">
      <alignment/>
    </xf>
    <xf numFmtId="164" fontId="63" fillId="34" borderId="11" xfId="0" applyNumberFormat="1" applyFont="1" applyFill="1" applyBorder="1" applyAlignment="1">
      <alignment/>
    </xf>
    <xf numFmtId="4" fontId="63" fillId="0" borderId="11" xfId="0" applyNumberFormat="1" applyFont="1" applyBorder="1" applyAlignment="1">
      <alignment/>
    </xf>
    <xf numFmtId="0" fontId="13" fillId="0" borderId="0" xfId="0" applyFont="1" applyFill="1" applyBorder="1" applyAlignment="1">
      <alignment wrapText="1"/>
    </xf>
    <xf numFmtId="164" fontId="63" fillId="0" borderId="11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wrapText="1"/>
    </xf>
    <xf numFmtId="164" fontId="11" fillId="33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1" fillId="35" borderId="0" xfId="0" applyFont="1" applyFill="1" applyAlignment="1">
      <alignment/>
    </xf>
    <xf numFmtId="0" fontId="17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164" fontId="11" fillId="34" borderId="1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Border="1" applyAlignment="1">
      <alignment horizontal="left"/>
    </xf>
    <xf numFmtId="164" fontId="11" fillId="0" borderId="13" xfId="0" applyNumberFormat="1" applyFont="1" applyBorder="1" applyAlignment="1">
      <alignment/>
    </xf>
    <xf numFmtId="0" fontId="11" fillId="0" borderId="13" xfId="0" applyFont="1" applyBorder="1" applyAlignment="1">
      <alignment/>
    </xf>
    <xf numFmtId="164" fontId="16" fillId="0" borderId="11" xfId="0" applyNumberFormat="1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/>
    </xf>
    <xf numFmtId="4" fontId="15" fillId="0" borderId="10" xfId="0" applyNumberFormat="1" applyFont="1" applyBorder="1" applyAlignment="1">
      <alignment/>
    </xf>
    <xf numFmtId="4" fontId="15" fillId="0" borderId="10" xfId="0" applyNumberFormat="1" applyFont="1" applyBorder="1" applyAlignment="1">
      <alignment wrapText="1"/>
    </xf>
    <xf numFmtId="4" fontId="11" fillId="0" borderId="0" xfId="0" applyNumberFormat="1" applyFont="1" applyAlignment="1">
      <alignment/>
    </xf>
    <xf numFmtId="0" fontId="16" fillId="0" borderId="0" xfId="0" applyFont="1" applyAlignment="1">
      <alignment/>
    </xf>
    <xf numFmtId="2" fontId="11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4" fontId="11" fillId="0" borderId="10" xfId="0" applyNumberFormat="1" applyFont="1" applyBorder="1" applyAlignment="1">
      <alignment wrapText="1"/>
    </xf>
    <xf numFmtId="4" fontId="13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 wrapText="1"/>
    </xf>
    <xf numFmtId="4" fontId="11" fillId="33" borderId="10" xfId="0" applyNumberFormat="1" applyFont="1" applyFill="1" applyBorder="1" applyAlignment="1">
      <alignment wrapText="1"/>
    </xf>
    <xf numFmtId="0" fontId="15" fillId="34" borderId="10" xfId="0" applyFont="1" applyFill="1" applyBorder="1" applyAlignment="1">
      <alignment wrapText="1"/>
    </xf>
    <xf numFmtId="4" fontId="15" fillId="34" borderId="10" xfId="0" applyNumberFormat="1" applyFont="1" applyFill="1" applyBorder="1" applyAlignment="1">
      <alignment wrapText="1"/>
    </xf>
    <xf numFmtId="0" fontId="16" fillId="34" borderId="0" xfId="0" applyFont="1" applyFill="1" applyAlignment="1">
      <alignment wrapText="1"/>
    </xf>
    <xf numFmtId="0" fontId="11" fillId="34" borderId="0" xfId="0" applyFont="1" applyFill="1" applyAlignment="1">
      <alignment wrapText="1"/>
    </xf>
    <xf numFmtId="4" fontId="15" fillId="0" borderId="1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64" fontId="11" fillId="0" borderId="0" xfId="0" applyNumberFormat="1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center" wrapText="1"/>
    </xf>
    <xf numFmtId="4" fontId="16" fillId="34" borderId="10" xfId="0" applyNumberFormat="1" applyFont="1" applyFill="1" applyBorder="1" applyAlignment="1">
      <alignment horizontal="right" wrapText="1"/>
    </xf>
    <xf numFmtId="4" fontId="16" fillId="0" borderId="0" xfId="0" applyNumberFormat="1" applyFont="1" applyFill="1" applyAlignment="1">
      <alignment wrapText="1"/>
    </xf>
    <xf numFmtId="4" fontId="16" fillId="0" borderId="10" xfId="0" applyNumberFormat="1" applyFont="1" applyBorder="1" applyAlignment="1">
      <alignment wrapText="1"/>
    </xf>
    <xf numFmtId="0" fontId="16" fillId="0" borderId="0" xfId="0" applyFont="1" applyAlignment="1">
      <alignment wrapText="1"/>
    </xf>
    <xf numFmtId="4" fontId="11" fillId="0" borderId="1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4" fontId="15" fillId="0" borderId="0" xfId="0" applyNumberFormat="1" applyFont="1" applyFill="1" applyAlignment="1">
      <alignment/>
    </xf>
    <xf numFmtId="0" fontId="20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2" fillId="0" borderId="14" xfId="0" applyFont="1" applyBorder="1" applyAlignment="1">
      <alignment horizontal="left" wrapText="1"/>
    </xf>
    <xf numFmtId="0" fontId="22" fillId="0" borderId="10" xfId="0" applyFont="1" applyBorder="1" applyAlignment="1">
      <alignment horizontal="center" wrapText="1"/>
    </xf>
    <xf numFmtId="164" fontId="22" fillId="0" borderId="10" xfId="0" applyNumberFormat="1" applyFont="1" applyBorder="1" applyAlignment="1">
      <alignment horizontal="center" wrapText="1"/>
    </xf>
    <xf numFmtId="164" fontId="22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wrapText="1"/>
    </xf>
    <xf numFmtId="164" fontId="11" fillId="0" borderId="15" xfId="0" applyNumberFormat="1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left" wrapText="1"/>
    </xf>
    <xf numFmtId="164" fontId="11" fillId="0" borderId="10" xfId="0" applyNumberFormat="1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/>
    </xf>
    <xf numFmtId="170" fontId="11" fillId="0" borderId="10" xfId="0" applyNumberFormat="1" applyFont="1" applyBorder="1" applyAlignment="1">
      <alignment horizontal="center" wrapText="1"/>
    </xf>
    <xf numFmtId="164" fontId="11" fillId="0" borderId="15" xfId="0" applyNumberFormat="1" applyFont="1" applyFill="1" applyBorder="1" applyAlignment="1">
      <alignment horizontal="left" wrapText="1"/>
    </xf>
    <xf numFmtId="164" fontId="11" fillId="0" borderId="14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23" fillId="0" borderId="0" xfId="0" applyFont="1" applyAlignment="1">
      <alignment/>
    </xf>
    <xf numFmtId="0" fontId="18" fillId="0" borderId="0" xfId="0" applyFont="1" applyFill="1" applyAlignment="1">
      <alignment vertical="top"/>
    </xf>
    <xf numFmtId="0" fontId="18" fillId="0" borderId="0" xfId="0" applyFont="1" applyAlignment="1">
      <alignment vertical="top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0" xfId="0" applyNumberFormat="1" applyFont="1" applyAlignment="1">
      <alignment/>
    </xf>
    <xf numFmtId="2" fontId="16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6" fillId="34" borderId="10" xfId="0" applyFont="1" applyFill="1" applyBorder="1" applyAlignment="1">
      <alignment wrapText="1"/>
    </xf>
    <xf numFmtId="4" fontId="16" fillId="34" borderId="10" xfId="0" applyNumberFormat="1" applyFont="1" applyFill="1" applyBorder="1" applyAlignment="1">
      <alignment horizontal="right" vertical="center" wrapText="1"/>
    </xf>
    <xf numFmtId="4" fontId="16" fillId="33" borderId="1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164" fontId="11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20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1" fillId="0" borderId="16" xfId="0" applyNumberFormat="1" applyFont="1" applyBorder="1" applyAlignment="1">
      <alignment wrapText="1"/>
    </xf>
    <xf numFmtId="164" fontId="11" fillId="0" borderId="14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/>
    </xf>
    <xf numFmtId="164" fontId="11" fillId="0" borderId="16" xfId="0" applyNumberFormat="1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wrapText="1"/>
    </xf>
    <xf numFmtId="4" fontId="23" fillId="0" borderId="0" xfId="0" applyNumberFormat="1" applyFont="1" applyAlignment="1">
      <alignment/>
    </xf>
    <xf numFmtId="4" fontId="11" fillId="0" borderId="11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left"/>
    </xf>
    <xf numFmtId="4" fontId="16" fillId="0" borderId="13" xfId="0" applyNumberFormat="1" applyFont="1" applyBorder="1" applyAlignment="1">
      <alignment horizontal="left"/>
    </xf>
    <xf numFmtId="4" fontId="11" fillId="0" borderId="13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0" fontId="15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8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4" fontId="18" fillId="0" borderId="0" xfId="0" applyNumberFormat="1" applyFont="1" applyAlignment="1">
      <alignment vertical="top"/>
    </xf>
    <xf numFmtId="4" fontId="13" fillId="34" borderId="10" xfId="0" applyNumberFormat="1" applyFont="1" applyFill="1" applyBorder="1" applyAlignment="1">
      <alignment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left" wrapText="1"/>
    </xf>
    <xf numFmtId="164" fontId="18" fillId="0" borderId="0" xfId="0" applyNumberFormat="1" applyFont="1" applyBorder="1" applyAlignment="1">
      <alignment horizontal="center"/>
    </xf>
    <xf numFmtId="4" fontId="15" fillId="0" borderId="0" xfId="0" applyNumberFormat="1" applyFont="1" applyAlignment="1">
      <alignment wrapText="1"/>
    </xf>
    <xf numFmtId="164" fontId="11" fillId="0" borderId="15" xfId="0" applyNumberFormat="1" applyFont="1" applyFill="1" applyBorder="1" applyAlignment="1">
      <alignment wrapText="1"/>
    </xf>
    <xf numFmtId="164" fontId="11" fillId="0" borderId="16" xfId="0" applyNumberFormat="1" applyFont="1" applyFill="1" applyBorder="1" applyAlignment="1">
      <alignment wrapText="1"/>
    </xf>
    <xf numFmtId="170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 wrapText="1"/>
    </xf>
    <xf numFmtId="16" fontId="16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vertical="center" wrapText="1"/>
    </xf>
    <xf numFmtId="0" fontId="13" fillId="0" borderId="10" xfId="0" applyFont="1" applyBorder="1" applyAlignment="1">
      <alignment horizontal="center" wrapText="1"/>
    </xf>
    <xf numFmtId="0" fontId="13" fillId="0" borderId="15" xfId="0" applyFont="1" applyBorder="1" applyAlignment="1">
      <alignment horizontal="left" wrapText="1"/>
    </xf>
    <xf numFmtId="166" fontId="11" fillId="0" borderId="10" xfId="0" applyNumberFormat="1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4" fontId="15" fillId="33" borderId="10" xfId="0" applyNumberFormat="1" applyFont="1" applyFill="1" applyBorder="1" applyAlignment="1">
      <alignment wrapText="1"/>
    </xf>
    <xf numFmtId="172" fontId="11" fillId="0" borderId="10" xfId="0" applyNumberFormat="1" applyFont="1" applyBorder="1" applyAlignment="1">
      <alignment horizontal="center" wrapText="1"/>
    </xf>
    <xf numFmtId="0" fontId="13" fillId="35" borderId="0" xfId="0" applyFont="1" applyFill="1" applyAlignment="1">
      <alignment/>
    </xf>
    <xf numFmtId="4" fontId="16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16" fontId="11" fillId="0" borderId="10" xfId="0" applyNumberFormat="1" applyFont="1" applyBorder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1" fillId="0" borderId="10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/>
    </xf>
    <xf numFmtId="168" fontId="11" fillId="0" borderId="10" xfId="0" applyNumberFormat="1" applyFont="1" applyBorder="1" applyAlignment="1">
      <alignment horizontal="center" wrapText="1"/>
    </xf>
    <xf numFmtId="4" fontId="13" fillId="33" borderId="10" xfId="0" applyNumberFormat="1" applyFont="1" applyFill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164" fontId="11" fillId="0" borderId="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right" wrapText="1"/>
    </xf>
    <xf numFmtId="4" fontId="11" fillId="0" borderId="0" xfId="0" applyNumberFormat="1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164" fontId="11" fillId="34" borderId="0" xfId="0" applyNumberFormat="1" applyFont="1" applyFill="1" applyBorder="1" applyAlignment="1">
      <alignment/>
    </xf>
    <xf numFmtId="4" fontId="15" fillId="0" borderId="0" xfId="0" applyNumberFormat="1" applyFont="1" applyBorder="1" applyAlignment="1">
      <alignment wrapText="1"/>
    </xf>
    <xf numFmtId="4" fontId="15" fillId="0" borderId="0" xfId="0" applyNumberFormat="1" applyFont="1" applyFill="1" applyBorder="1" applyAlignment="1">
      <alignment wrapText="1"/>
    </xf>
    <xf numFmtId="4" fontId="11" fillId="33" borderId="10" xfId="0" applyNumberFormat="1" applyFont="1" applyFill="1" applyBorder="1" applyAlignment="1">
      <alignment horizontal="right" wrapText="1"/>
    </xf>
    <xf numFmtId="169" fontId="13" fillId="0" borderId="0" xfId="0" applyNumberFormat="1" applyFont="1" applyAlignment="1">
      <alignment wrapText="1"/>
    </xf>
    <xf numFmtId="0" fontId="20" fillId="0" borderId="10" xfId="0" applyFont="1" applyBorder="1" applyAlignment="1">
      <alignment horizontal="center" wrapText="1"/>
    </xf>
    <xf numFmtId="2" fontId="16" fillId="0" borderId="10" xfId="0" applyNumberFormat="1" applyFont="1" applyBorder="1" applyAlignment="1">
      <alignment wrapText="1"/>
    </xf>
    <xf numFmtId="0" fontId="16" fillId="0" borderId="10" xfId="0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2" fontId="13" fillId="35" borderId="0" xfId="0" applyNumberFormat="1" applyFont="1" applyFill="1" applyAlignment="1">
      <alignment/>
    </xf>
    <xf numFmtId="0" fontId="42" fillId="0" borderId="0" xfId="0" applyFont="1" applyAlignment="1">
      <alignment/>
    </xf>
    <xf numFmtId="0" fontId="16" fillId="0" borderId="10" xfId="0" applyFont="1" applyFill="1" applyBorder="1" applyAlignment="1">
      <alignment horizontal="left" wrapText="1"/>
    </xf>
    <xf numFmtId="4" fontId="17" fillId="0" borderId="0" xfId="0" applyNumberFormat="1" applyFont="1" applyAlignment="1">
      <alignment horizontal="center"/>
    </xf>
    <xf numFmtId="4" fontId="42" fillId="0" borderId="0" xfId="0" applyNumberFormat="1" applyFont="1" applyAlignment="1">
      <alignment/>
    </xf>
    <xf numFmtId="0" fontId="13" fillId="0" borderId="1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23" fillId="0" borderId="0" xfId="0" applyFont="1" applyFill="1" applyAlignment="1">
      <alignment/>
    </xf>
    <xf numFmtId="0" fontId="16" fillId="0" borderId="13" xfId="0" applyFont="1" applyFill="1" applyBorder="1" applyAlignment="1">
      <alignment horizontal="left"/>
    </xf>
    <xf numFmtId="4" fontId="13" fillId="0" borderId="1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20" fillId="0" borderId="0" xfId="0" applyFont="1" applyFill="1" applyBorder="1" applyAlignment="1">
      <alignment horizontal="center" wrapText="1"/>
    </xf>
    <xf numFmtId="0" fontId="16" fillId="0" borderId="18" xfId="0" applyFont="1" applyBorder="1" applyAlignment="1">
      <alignment horizontal="left"/>
    </xf>
    <xf numFmtId="4" fontId="15" fillId="0" borderId="1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2" fontId="11" fillId="35" borderId="0" xfId="0" applyNumberFormat="1" applyFont="1" applyFill="1" applyAlignment="1">
      <alignment/>
    </xf>
    <xf numFmtId="0" fontId="16" fillId="0" borderId="16" xfId="0" applyFont="1" applyBorder="1" applyAlignment="1">
      <alignment vertical="center" wrapText="1"/>
    </xf>
    <xf numFmtId="0" fontId="21" fillId="0" borderId="14" xfId="0" applyFont="1" applyBorder="1" applyAlignment="1">
      <alignment/>
    </xf>
    <xf numFmtId="164" fontId="22" fillId="0" borderId="16" xfId="0" applyNumberFormat="1" applyFont="1" applyBorder="1" applyAlignment="1">
      <alignment wrapText="1"/>
    </xf>
    <xf numFmtId="0" fontId="14" fillId="0" borderId="14" xfId="0" applyFont="1" applyBorder="1" applyAlignment="1">
      <alignment/>
    </xf>
    <xf numFmtId="164" fontId="11" fillId="0" borderId="16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/>
    </xf>
    <xf numFmtId="16" fontId="13" fillId="0" borderId="10" xfId="0" applyNumberFormat="1" applyFont="1" applyBorder="1" applyAlignment="1">
      <alignment wrapText="1"/>
    </xf>
    <xf numFmtId="0" fontId="16" fillId="33" borderId="0" xfId="0" applyFont="1" applyFill="1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164" fontId="11" fillId="33" borderId="13" xfId="0" applyNumberFormat="1" applyFont="1" applyFill="1" applyBorder="1" applyAlignment="1">
      <alignment/>
    </xf>
    <xf numFmtId="4" fontId="11" fillId="34" borderId="0" xfId="0" applyNumberFormat="1" applyFont="1" applyFill="1" applyAlignment="1">
      <alignment wrapText="1"/>
    </xf>
    <xf numFmtId="169" fontId="11" fillId="0" borderId="0" xfId="0" applyNumberFormat="1" applyFont="1" applyAlignment="1">
      <alignment/>
    </xf>
    <xf numFmtId="164" fontId="11" fillId="0" borderId="0" xfId="0" applyNumberFormat="1" applyFont="1" applyFill="1" applyBorder="1" applyAlignment="1">
      <alignment wrapText="1"/>
    </xf>
    <xf numFmtId="4" fontId="15" fillId="34" borderId="10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/>
    </xf>
    <xf numFmtId="164" fontId="63" fillId="34" borderId="19" xfId="0" applyNumberFormat="1" applyFont="1" applyFill="1" applyBorder="1" applyAlignment="1">
      <alignment/>
    </xf>
    <xf numFmtId="4" fontId="16" fillId="34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wrapText="1"/>
    </xf>
    <xf numFmtId="4" fontId="13" fillId="33" borderId="10" xfId="0" applyNumberFormat="1" applyFont="1" applyFill="1" applyBorder="1" applyAlignment="1">
      <alignment/>
    </xf>
    <xf numFmtId="4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9" fillId="0" borderId="10" xfId="0" applyFont="1" applyBorder="1" applyAlignment="1">
      <alignment horizontal="center" wrapText="1"/>
    </xf>
    <xf numFmtId="164" fontId="11" fillId="34" borderId="20" xfId="0" applyNumberFormat="1" applyFont="1" applyFill="1" applyBorder="1" applyAlignment="1">
      <alignment/>
    </xf>
    <xf numFmtId="0" fontId="11" fillId="33" borderId="0" xfId="0" applyFont="1" applyFill="1" applyAlignment="1">
      <alignment wrapText="1"/>
    </xf>
    <xf numFmtId="0" fontId="17" fillId="35" borderId="0" xfId="0" applyFont="1" applyFill="1" applyAlignment="1">
      <alignment/>
    </xf>
    <xf numFmtId="167" fontId="16" fillId="0" borderId="10" xfId="0" applyNumberFormat="1" applyFont="1" applyBorder="1" applyAlignment="1">
      <alignment wrapText="1"/>
    </xf>
    <xf numFmtId="16" fontId="13" fillId="0" borderId="10" xfId="0" applyNumberFormat="1" applyFont="1" applyBorder="1" applyAlignment="1">
      <alignment horizontal="left" wrapText="1"/>
    </xf>
    <xf numFmtId="164" fontId="16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22" fillId="0" borderId="10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left"/>
    </xf>
    <xf numFmtId="164" fontId="63" fillId="0" borderId="19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/>
    </xf>
    <xf numFmtId="0" fontId="22" fillId="0" borderId="10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1" fillId="0" borderId="16" xfId="0" applyNumberFormat="1" applyFont="1" applyBorder="1" applyAlignment="1">
      <alignment wrapText="1"/>
    </xf>
    <xf numFmtId="164" fontId="11" fillId="0" borderId="14" xfId="0" applyNumberFormat="1" applyFont="1" applyBorder="1" applyAlignment="1">
      <alignment wrapText="1"/>
    </xf>
    <xf numFmtId="0" fontId="17" fillId="0" borderId="0" xfId="0" applyFont="1" applyAlignment="1">
      <alignment horizontal="center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7" fillId="0" borderId="0" xfId="0" applyFont="1" applyAlignment="1">
      <alignment horizont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left" wrapText="1"/>
    </xf>
    <xf numFmtId="164" fontId="11" fillId="0" borderId="16" xfId="0" applyNumberFormat="1" applyFont="1" applyBorder="1" applyAlignment="1">
      <alignment horizontal="left" wrapText="1"/>
    </xf>
    <xf numFmtId="164" fontId="11" fillId="0" borderId="14" xfId="0" applyNumberFormat="1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4" fontId="11" fillId="0" borderId="15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/>
    </xf>
    <xf numFmtId="0" fontId="21" fillId="0" borderId="14" xfId="0" applyFont="1" applyBorder="1" applyAlignment="1">
      <alignment horizontal="left" wrapText="1"/>
    </xf>
    <xf numFmtId="4" fontId="22" fillId="0" borderId="10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wrapText="1"/>
    </xf>
    <xf numFmtId="0" fontId="22" fillId="0" borderId="16" xfId="0" applyFont="1" applyBorder="1" applyAlignment="1">
      <alignment horizontal="left" wrapText="1"/>
    </xf>
    <xf numFmtId="4" fontId="18" fillId="0" borderId="10" xfId="0" applyNumberFormat="1" applyFont="1" applyFill="1" applyBorder="1" applyAlignment="1">
      <alignment horizontal="center"/>
    </xf>
    <xf numFmtId="0" fontId="22" fillId="0" borderId="14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16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4" fillId="0" borderId="0" xfId="0" applyFont="1" applyAlignment="1">
      <alignment horizontal="center" wrapText="1"/>
    </xf>
    <xf numFmtId="0" fontId="14" fillId="0" borderId="14" xfId="0" applyFont="1" applyBorder="1" applyAlignment="1">
      <alignment horizontal="left" wrapText="1"/>
    </xf>
    <xf numFmtId="0" fontId="14" fillId="0" borderId="14" xfId="0" applyFont="1" applyBorder="1" applyAlignment="1">
      <alignment/>
    </xf>
    <xf numFmtId="0" fontId="15" fillId="0" borderId="14" xfId="0" applyFont="1" applyBorder="1" applyAlignment="1">
      <alignment horizontal="center" vertical="center" wrapText="1"/>
    </xf>
    <xf numFmtId="4" fontId="22" fillId="0" borderId="15" xfId="0" applyNumberFormat="1" applyFont="1" applyBorder="1" applyAlignment="1">
      <alignment horizontal="center" wrapText="1"/>
    </xf>
    <xf numFmtId="4" fontId="14" fillId="0" borderId="14" xfId="0" applyNumberFormat="1" applyFont="1" applyBorder="1" applyAlignment="1">
      <alignment/>
    </xf>
    <xf numFmtId="164" fontId="18" fillId="0" borderId="10" xfId="0" applyNumberFormat="1" applyFont="1" applyBorder="1" applyAlignment="1">
      <alignment horizontal="center"/>
    </xf>
    <xf numFmtId="164" fontId="22" fillId="0" borderId="15" xfId="0" applyNumberFormat="1" applyFont="1" applyBorder="1" applyAlignment="1">
      <alignment horizontal="center" wrapText="1"/>
    </xf>
    <xf numFmtId="164" fontId="18" fillId="0" borderId="10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left" vertical="center" wrapText="1"/>
    </xf>
    <xf numFmtId="164" fontId="11" fillId="0" borderId="14" xfId="0" applyNumberFormat="1" applyFont="1" applyBorder="1" applyAlignment="1">
      <alignment horizontal="left" vertical="center" wrapText="1"/>
    </xf>
    <xf numFmtId="164" fontId="22" fillId="0" borderId="15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164" fontId="11" fillId="0" borderId="15" xfId="0" applyNumberFormat="1" applyFont="1" applyFill="1" applyBorder="1" applyAlignment="1">
      <alignment horizontal="left" wrapText="1"/>
    </xf>
    <xf numFmtId="164" fontId="11" fillId="0" borderId="14" xfId="0" applyNumberFormat="1" applyFont="1" applyFill="1" applyBorder="1" applyAlignment="1">
      <alignment horizontal="left" wrapText="1"/>
    </xf>
    <xf numFmtId="164" fontId="18" fillId="0" borderId="15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64" fontId="11" fillId="0" borderId="15" xfId="0" applyNumberFormat="1" applyFont="1" applyFill="1" applyBorder="1" applyAlignment="1">
      <alignment wrapText="1"/>
    </xf>
    <xf numFmtId="164" fontId="11" fillId="0" borderId="14" xfId="0" applyNumberFormat="1" applyFont="1" applyFill="1" applyBorder="1" applyAlignment="1">
      <alignment wrapText="1"/>
    </xf>
    <xf numFmtId="164" fontId="11" fillId="0" borderId="15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3" fillId="35" borderId="0" xfId="0" applyFont="1" applyFill="1" applyAlignment="1">
      <alignment horizontal="center" vertical="center" wrapText="1"/>
    </xf>
    <xf numFmtId="0" fontId="14" fillId="35" borderId="0" xfId="0" applyFont="1" applyFill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164" fontId="11" fillId="0" borderId="10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 wrapText="1"/>
    </xf>
    <xf numFmtId="164" fontId="11" fillId="0" borderId="14" xfId="0" applyNumberFormat="1" applyFont="1" applyBorder="1" applyAlignment="1">
      <alignment horizontal="center" wrapText="1"/>
    </xf>
    <xf numFmtId="164" fontId="11" fillId="0" borderId="15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/>
    </xf>
    <xf numFmtId="164" fontId="18" fillId="0" borderId="15" xfId="0" applyNumberFormat="1" applyFont="1" applyFill="1" applyBorder="1" applyAlignment="1">
      <alignment horizontal="center"/>
    </xf>
    <xf numFmtId="164" fontId="18" fillId="0" borderId="14" xfId="0" applyNumberFormat="1" applyFont="1" applyFill="1" applyBorder="1" applyAlignment="1">
      <alignment horizontal="center"/>
    </xf>
    <xf numFmtId="0" fontId="13" fillId="35" borderId="0" xfId="0" applyFont="1" applyFill="1" applyAlignment="1">
      <alignment wrapText="1"/>
    </xf>
    <xf numFmtId="0" fontId="14" fillId="35" borderId="0" xfId="0" applyFont="1" applyFill="1" applyAlignment="1">
      <alignment wrapText="1"/>
    </xf>
    <xf numFmtId="164" fontId="13" fillId="0" borderId="15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64" fontId="8" fillId="0" borderId="15" xfId="0" applyNumberFormat="1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left" wrapText="1"/>
    </xf>
    <xf numFmtId="164" fontId="6" fillId="0" borderId="16" xfId="0" applyNumberFormat="1" applyFont="1" applyBorder="1" applyAlignment="1">
      <alignment horizontal="left" wrapText="1"/>
    </xf>
    <xf numFmtId="164" fontId="6" fillId="0" borderId="14" xfId="0" applyNumberFormat="1" applyFont="1" applyBorder="1" applyAlignment="1">
      <alignment horizontal="left" wrapText="1"/>
    </xf>
    <xf numFmtId="164" fontId="6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wrapText="1"/>
    </xf>
    <xf numFmtId="164" fontId="11" fillId="0" borderId="16" xfId="0" applyNumberFormat="1" applyFont="1" applyFill="1" applyBorder="1" applyAlignment="1">
      <alignment horizontal="left" wrapText="1"/>
    </xf>
    <xf numFmtId="164" fontId="11" fillId="0" borderId="10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16" fillId="0" borderId="27" xfId="0" applyFont="1" applyBorder="1" applyAlignment="1">
      <alignment horizontal="left"/>
    </xf>
    <xf numFmtId="164" fontId="22" fillId="0" borderId="15" xfId="0" applyNumberFormat="1" applyFont="1" applyBorder="1" applyAlignment="1">
      <alignment horizontal="left" wrapText="1"/>
    </xf>
    <xf numFmtId="164" fontId="22" fillId="0" borderId="14" xfId="0" applyNumberFormat="1" applyFont="1" applyBorder="1" applyAlignment="1">
      <alignment horizontal="left" wrapText="1"/>
    </xf>
    <xf numFmtId="164" fontId="22" fillId="0" borderId="15" xfId="0" applyNumberFormat="1" applyFont="1" applyBorder="1" applyAlignment="1">
      <alignment horizontal="center"/>
    </xf>
    <xf numFmtId="164" fontId="22" fillId="0" borderId="14" xfId="0" applyNumberFormat="1" applyFont="1" applyBorder="1" applyAlignment="1">
      <alignment horizontal="center"/>
    </xf>
    <xf numFmtId="164" fontId="22" fillId="0" borderId="10" xfId="0" applyNumberFormat="1" applyFont="1" applyBorder="1" applyAlignment="1">
      <alignment horizontal="center" wrapText="1"/>
    </xf>
    <xf numFmtId="0" fontId="14" fillId="0" borderId="10" xfId="0" applyFont="1" applyBorder="1" applyAlignment="1">
      <alignment/>
    </xf>
    <xf numFmtId="164" fontId="64" fillId="0" borderId="10" xfId="0" applyNumberFormat="1" applyFont="1" applyBorder="1" applyAlignment="1">
      <alignment horizontal="center"/>
    </xf>
    <xf numFmtId="164" fontId="64" fillId="0" borderId="15" xfId="0" applyNumberFormat="1" applyFont="1" applyBorder="1" applyAlignment="1">
      <alignment horizontal="center"/>
    </xf>
    <xf numFmtId="164" fontId="64" fillId="0" borderId="14" xfId="0" applyNumberFormat="1" applyFont="1" applyBorder="1" applyAlignment="1">
      <alignment horizontal="center"/>
    </xf>
    <xf numFmtId="0" fontId="16" fillId="33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  <xf numFmtId="0" fontId="17" fillId="0" borderId="27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/>
    </xf>
    <xf numFmtId="164" fontId="18" fillId="0" borderId="23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164" fontId="16" fillId="0" borderId="15" xfId="0" applyNumberFormat="1" applyFont="1" applyBorder="1" applyAlignment="1">
      <alignment horizontal="left" wrapText="1"/>
    </xf>
    <xf numFmtId="164" fontId="16" fillId="0" borderId="14" xfId="0" applyNumberFormat="1" applyFont="1" applyBorder="1" applyAlignment="1">
      <alignment horizontal="left" wrapText="1"/>
    </xf>
    <xf numFmtId="164" fontId="24" fillId="0" borderId="15" xfId="0" applyNumberFormat="1" applyFont="1" applyBorder="1" applyAlignment="1">
      <alignment horizontal="center"/>
    </xf>
    <xf numFmtId="164" fontId="24" fillId="0" borderId="14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28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/>
    </xf>
    <xf numFmtId="164" fontId="11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/>
    </xf>
    <xf numFmtId="0" fontId="13" fillId="0" borderId="15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left" wrapText="1"/>
    </xf>
    <xf numFmtId="164" fontId="18" fillId="0" borderId="0" xfId="0" applyNumberFormat="1" applyFont="1" applyFill="1" applyBorder="1" applyAlignment="1">
      <alignment horizontal="center"/>
    </xf>
    <xf numFmtId="0" fontId="16" fillId="0" borderId="18" xfId="0" applyFont="1" applyBorder="1" applyAlignment="1">
      <alignment horizontal="left"/>
    </xf>
    <xf numFmtId="0" fontId="65" fillId="0" borderId="14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0" fontId="11" fillId="0" borderId="10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styles" Target="styles.xml" /><Relationship Id="rId104" Type="http://schemas.openxmlformats.org/officeDocument/2006/relationships/sharedStrings" Target="sharedStrings.xml" /><Relationship Id="rId105" Type="http://schemas.openxmlformats.org/officeDocument/2006/relationships/externalLink" Target="externalLinks/externalLink1.xml" /><Relationship Id="rId10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72;&#1084;%20&#1079;&#1072;%202019&#1075;%20&#1076;&#1083;&#1103;%20&#1088;&#1072;&#1079;&#1084;&#1077;&#1097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левизионная 2а"/>
      <sheetName val="Пионерская 16"/>
      <sheetName val="Пионерская 1318"/>
      <sheetName val="Багговута 12"/>
      <sheetName val="Пионерская 15"/>
      <sheetName val="Социалистическая 3"/>
      <sheetName val="Социалистическая 4"/>
      <sheetName val="Социалистическая 6 к.1"/>
      <sheetName val="Социалистическая 6"/>
      <sheetName val="Социалистическая 9"/>
      <sheetName val="Социалистическая 12"/>
      <sheetName val="Телевизионная 2"/>
      <sheetName val="Телевизионная 4"/>
      <sheetName val="Чичерина 7а"/>
      <sheetName val="Чичерина 8"/>
      <sheetName val="Чичерина 16 к. 1"/>
      <sheetName val="пер.Чичерина 24"/>
      <sheetName val="пер. Чичерина 28"/>
      <sheetName val="Калинина 12"/>
      <sheetName val="Калинина 18"/>
      <sheetName val="Калинина 23"/>
      <sheetName val="Пионерская 9"/>
      <sheetName val="Высокая 4"/>
      <sheetName val="Пухова 15"/>
      <sheetName val="Пухова 17"/>
      <sheetName val="Калинина 4"/>
      <sheetName val="Пионерская 18"/>
      <sheetName val="Чичерина 12 к.1"/>
      <sheetName val="Телевизионная 6 к.1"/>
      <sheetName val="Пионерская 2"/>
      <sheetName val="Телевизионная 2 к.1"/>
      <sheetName val="Чичерина 16"/>
      <sheetName val="Чичерина 19"/>
      <sheetName val="Чичерина 22"/>
      <sheetName val="Лист1"/>
      <sheetName val="Лист2"/>
      <sheetName val="Ленина 68,8"/>
      <sheetName val="Ленина 67"/>
      <sheetName val="Огарева 20"/>
      <sheetName val="Пролетарская 40"/>
      <sheetName val="Чижевского 4"/>
      <sheetName val="Билибина 10"/>
      <sheetName val="Ленина 61.5"/>
      <sheetName val="Билибина 26"/>
      <sheetName val="Билибина 28"/>
      <sheetName val="Общее"/>
      <sheetName val="Пролетарская 135"/>
      <sheetName val="Молодежная 41"/>
      <sheetName val="Солнечный б-р 2 общий"/>
      <sheetName val="Солнечный б-р 4"/>
      <sheetName val="Солнечный б-р 4-1"/>
      <sheetName val="Солнечный б-р 4-2"/>
      <sheetName val="Аллейная 2"/>
      <sheetName val="Телевизионная 10"/>
      <sheetName val="Дубрава 1"/>
      <sheetName val="Дубрава 1а"/>
      <sheetName val="Дубрава 2"/>
      <sheetName val="Дубрава 3"/>
      <sheetName val="Дубрава 4"/>
      <sheetName val="Дубрава 5"/>
      <sheetName val="Дубрава 6"/>
      <sheetName val="Дубрава 7"/>
      <sheetName val="Дубрава 9"/>
      <sheetName val="Дубрава10"/>
      <sheetName val="Дубрава 11"/>
      <sheetName val="Нефтебаза 1"/>
      <sheetName val="Нефтебаза 2"/>
      <sheetName val="Нефтебаза 3"/>
      <sheetName val="Нефтебаза 4"/>
      <sheetName val="Нефтебаза 5"/>
      <sheetName val="Нефтебаза 6"/>
      <sheetName val="Аэропортовская 14"/>
      <sheetName val="Дорожная 11 корп1"/>
      <sheetName val="Дорожная 11 корп2"/>
      <sheetName val="Моторная 30А"/>
      <sheetName val="Грабцевское шоссе 160"/>
      <sheetName val="Аэропортовская 9"/>
      <sheetName val="Хрустальная 52"/>
      <sheetName val="Хрустальная 56"/>
      <sheetName val="Хрустальная 62"/>
      <sheetName val="Хрустальная 66"/>
      <sheetName val="Хрустальная 70"/>
      <sheetName val="Хрустальная 74"/>
      <sheetName val="Молодежная 46"/>
      <sheetName val="Молодежная 48"/>
      <sheetName val="Грабцевское шоссе 132 корп.1"/>
      <sheetName val="Гагарина 9"/>
      <sheetName val="Добровольского 14"/>
      <sheetName val="Чижевского 12"/>
      <sheetName val="Чижевского 23"/>
      <sheetName val="Болотникова 16"/>
      <sheetName val="Плеханова 2 к.2"/>
      <sheetName val="Калинина 15"/>
    </sheetNames>
    <sheetDataSet>
      <sheetData sheetId="0">
        <row r="36">
          <cell r="G36">
            <v>11577.509999999998</v>
          </cell>
        </row>
        <row r="37">
          <cell r="G37">
            <v>69534.4674</v>
          </cell>
        </row>
      </sheetData>
      <sheetData sheetId="1">
        <row r="34">
          <cell r="G34">
            <v>34925.52</v>
          </cell>
        </row>
        <row r="35">
          <cell r="G35">
            <v>240550.6536</v>
          </cell>
        </row>
      </sheetData>
      <sheetData sheetId="2">
        <row r="35">
          <cell r="G35">
            <v>-2317.68</v>
          </cell>
        </row>
        <row r="36">
          <cell r="G36">
            <v>-18852.7688</v>
          </cell>
        </row>
      </sheetData>
      <sheetData sheetId="3">
        <row r="36">
          <cell r="G36">
            <v>21227.41</v>
          </cell>
        </row>
        <row r="37">
          <cell r="G37">
            <v>-18376.408699999993</v>
          </cell>
        </row>
      </sheetData>
      <sheetData sheetId="4">
        <row r="36">
          <cell r="G36">
            <v>94418.53</v>
          </cell>
        </row>
        <row r="37">
          <cell r="G37">
            <v>-143312.88929999998</v>
          </cell>
        </row>
      </sheetData>
      <sheetData sheetId="5">
        <row r="37">
          <cell r="G37">
            <v>-696021.4</v>
          </cell>
        </row>
        <row r="38">
          <cell r="G38">
            <v>-53274.207099999985</v>
          </cell>
        </row>
      </sheetData>
      <sheetData sheetId="6">
        <row r="37">
          <cell r="G37">
            <v>171860.85</v>
          </cell>
        </row>
        <row r="38">
          <cell r="G38">
            <v>248286.9701</v>
          </cell>
        </row>
      </sheetData>
      <sheetData sheetId="7">
        <row r="37">
          <cell r="G37">
            <v>23604.83</v>
          </cell>
        </row>
        <row r="38">
          <cell r="G38">
            <v>-87821.62469999999</v>
          </cell>
        </row>
      </sheetData>
      <sheetData sheetId="8">
        <row r="37">
          <cell r="G37">
            <v>86554.33</v>
          </cell>
        </row>
        <row r="38">
          <cell r="G38">
            <v>226002.5399</v>
          </cell>
        </row>
      </sheetData>
      <sheetData sheetId="9">
        <row r="37">
          <cell r="G37">
            <v>27785.29</v>
          </cell>
        </row>
        <row r="38">
          <cell r="G38">
            <v>22118.7677</v>
          </cell>
        </row>
      </sheetData>
      <sheetData sheetId="10">
        <row r="37">
          <cell r="G37">
            <v>16447.33</v>
          </cell>
        </row>
        <row r="38">
          <cell r="G38">
            <v>-11204.305100000001</v>
          </cell>
        </row>
      </sheetData>
      <sheetData sheetId="11">
        <row r="37">
          <cell r="G37">
            <v>13888.84</v>
          </cell>
        </row>
        <row r="38">
          <cell r="G38">
            <v>-167811.36560000002</v>
          </cell>
        </row>
      </sheetData>
      <sheetData sheetId="13">
        <row r="37">
          <cell r="G37">
            <v>15584.92</v>
          </cell>
        </row>
        <row r="38">
          <cell r="G38">
            <v>53090.1169</v>
          </cell>
        </row>
      </sheetData>
      <sheetData sheetId="14">
        <row r="37">
          <cell r="G37">
            <v>-64908.700000000004</v>
          </cell>
        </row>
        <row r="38">
          <cell r="G38">
            <v>56568.616500000004</v>
          </cell>
        </row>
      </sheetData>
      <sheetData sheetId="15">
        <row r="37">
          <cell r="G37">
            <v>-5989.219999999999</v>
          </cell>
        </row>
        <row r="38">
          <cell r="G38">
            <v>-385922.02150000003</v>
          </cell>
        </row>
      </sheetData>
      <sheetData sheetId="16">
        <row r="36">
          <cell r="G36">
            <v>-39261.53999999999</v>
          </cell>
        </row>
        <row r="37">
          <cell r="G37">
            <v>-43568.61959999999</v>
          </cell>
        </row>
      </sheetData>
      <sheetData sheetId="17">
        <row r="36">
          <cell r="G36">
            <v>99543.7</v>
          </cell>
        </row>
        <row r="37">
          <cell r="G37">
            <v>271433.6199</v>
          </cell>
        </row>
      </sheetData>
      <sheetData sheetId="18">
        <row r="36">
          <cell r="G36">
            <v>-154276.89</v>
          </cell>
        </row>
        <row r="37">
          <cell r="G37">
            <v>-979526.1475</v>
          </cell>
        </row>
      </sheetData>
      <sheetData sheetId="19">
        <row r="36">
          <cell r="G36">
            <v>378849.35000000003</v>
          </cell>
        </row>
        <row r="37">
          <cell r="G37">
            <v>318186.70519999997</v>
          </cell>
        </row>
      </sheetData>
      <sheetData sheetId="20">
        <row r="36">
          <cell r="G36">
            <v>-148697.76</v>
          </cell>
        </row>
        <row r="37">
          <cell r="G37">
            <v>-152798.7718</v>
          </cell>
        </row>
      </sheetData>
      <sheetData sheetId="21">
        <row r="36">
          <cell r="G36">
            <v>24227.58</v>
          </cell>
        </row>
        <row r="37">
          <cell r="G37">
            <v>-149498.3843</v>
          </cell>
        </row>
      </sheetData>
      <sheetData sheetId="22">
        <row r="36">
          <cell r="G36">
            <v>13760.64</v>
          </cell>
        </row>
        <row r="37">
          <cell r="G37">
            <v>166855.0642</v>
          </cell>
        </row>
      </sheetData>
      <sheetData sheetId="23">
        <row r="36">
          <cell r="G36">
            <v>5572.86</v>
          </cell>
        </row>
        <row r="37">
          <cell r="G37">
            <v>-37640.305100000005</v>
          </cell>
        </row>
      </sheetData>
      <sheetData sheetId="24">
        <row r="36">
          <cell r="G36">
            <v>38596.57</v>
          </cell>
        </row>
        <row r="37">
          <cell r="G37">
            <v>-317726.82289999997</v>
          </cell>
        </row>
      </sheetData>
      <sheetData sheetId="25">
        <row r="36">
          <cell r="G36">
            <v>21917.31</v>
          </cell>
        </row>
        <row r="37">
          <cell r="G37">
            <v>-117749.16090000002</v>
          </cell>
        </row>
      </sheetData>
      <sheetData sheetId="26">
        <row r="36">
          <cell r="G36">
            <v>22071.77</v>
          </cell>
        </row>
        <row r="37">
          <cell r="G37">
            <v>-276411.4555</v>
          </cell>
        </row>
      </sheetData>
      <sheetData sheetId="27">
        <row r="36">
          <cell r="G36">
            <v>17055.13</v>
          </cell>
        </row>
        <row r="37">
          <cell r="G37">
            <v>122478.50129999999</v>
          </cell>
        </row>
      </sheetData>
      <sheetData sheetId="28">
        <row r="36">
          <cell r="G36">
            <v>2910.05</v>
          </cell>
        </row>
        <row r="37">
          <cell r="G37">
            <v>35809.7465</v>
          </cell>
        </row>
      </sheetData>
      <sheetData sheetId="29">
        <row r="36">
          <cell r="G36">
            <v>5697.05</v>
          </cell>
        </row>
        <row r="37">
          <cell r="G37">
            <v>-356212.43600000005</v>
          </cell>
        </row>
      </sheetData>
      <sheetData sheetId="30">
        <row r="36">
          <cell r="G36">
            <v>29814.170000000002</v>
          </cell>
        </row>
        <row r="37">
          <cell r="G37">
            <v>-55892.75320000002</v>
          </cell>
        </row>
      </sheetData>
      <sheetData sheetId="31">
        <row r="36">
          <cell r="G36">
            <v>-7051.42</v>
          </cell>
        </row>
        <row r="37">
          <cell r="G37">
            <v>-42592.90870000001</v>
          </cell>
        </row>
      </sheetData>
      <sheetData sheetId="32">
        <row r="35">
          <cell r="G35">
            <v>47829.0581</v>
          </cell>
        </row>
      </sheetData>
      <sheetData sheetId="33">
        <row r="36">
          <cell r="G36">
            <v>13836.37</v>
          </cell>
        </row>
        <row r="37">
          <cell r="G37">
            <v>-24091.451399999998</v>
          </cell>
        </row>
      </sheetData>
      <sheetData sheetId="36">
        <row r="38">
          <cell r="G38">
            <v>-46451.55</v>
          </cell>
        </row>
        <row r="39">
          <cell r="G39">
            <v>-243122.179</v>
          </cell>
        </row>
      </sheetData>
      <sheetData sheetId="37">
        <row r="36">
          <cell r="G36">
            <v>120890.79999999999</v>
          </cell>
        </row>
        <row r="37">
          <cell r="G37">
            <v>135038.4814</v>
          </cell>
        </row>
      </sheetData>
      <sheetData sheetId="38">
        <row r="36">
          <cell r="G36">
            <v>90702.91070000001</v>
          </cell>
        </row>
      </sheetData>
      <sheetData sheetId="39">
        <row r="36">
          <cell r="G36">
            <v>28855.134500000004</v>
          </cell>
        </row>
      </sheetData>
      <sheetData sheetId="40">
        <row r="37">
          <cell r="G37">
            <v>-7060.03</v>
          </cell>
        </row>
        <row r="38">
          <cell r="G38">
            <v>-527143.461</v>
          </cell>
        </row>
      </sheetData>
      <sheetData sheetId="41">
        <row r="37">
          <cell r="G37">
            <v>13787.78</v>
          </cell>
        </row>
        <row r="38">
          <cell r="G38">
            <v>120572.39239999998</v>
          </cell>
        </row>
      </sheetData>
      <sheetData sheetId="42">
        <row r="37">
          <cell r="G37">
            <v>1633.679999999993</v>
          </cell>
        </row>
        <row r="38">
          <cell r="G38">
            <v>-359744.2892</v>
          </cell>
        </row>
      </sheetData>
      <sheetData sheetId="43">
        <row r="36">
          <cell r="G36">
            <v>0</v>
          </cell>
        </row>
        <row r="37">
          <cell r="G37">
            <v>-32180.432000000008</v>
          </cell>
        </row>
      </sheetData>
      <sheetData sheetId="44">
        <row r="36">
          <cell r="G36">
            <v>0</v>
          </cell>
        </row>
        <row r="37">
          <cell r="G37">
            <v>41036.3226</v>
          </cell>
        </row>
      </sheetData>
      <sheetData sheetId="46">
        <row r="36">
          <cell r="G36">
            <v>-105022.04</v>
          </cell>
        </row>
        <row r="37">
          <cell r="G37">
            <v>-94339.7569</v>
          </cell>
        </row>
      </sheetData>
      <sheetData sheetId="47">
        <row r="38">
          <cell r="I38">
            <v>366862.1543</v>
          </cell>
        </row>
      </sheetData>
      <sheetData sheetId="48">
        <row r="37">
          <cell r="G37">
            <v>534470.3467000001</v>
          </cell>
        </row>
      </sheetData>
      <sheetData sheetId="49">
        <row r="38">
          <cell r="G38">
            <v>78575.59410000002</v>
          </cell>
        </row>
      </sheetData>
      <sheetData sheetId="50">
        <row r="37">
          <cell r="G37">
            <v>-5385.98</v>
          </cell>
        </row>
        <row r="38">
          <cell r="G38">
            <v>49716.2367</v>
          </cell>
        </row>
      </sheetData>
      <sheetData sheetId="51">
        <row r="37">
          <cell r="G37">
            <v>-265605.0533</v>
          </cell>
        </row>
      </sheetData>
      <sheetData sheetId="52">
        <row r="38">
          <cell r="G38">
            <v>-46172.89869999999</v>
          </cell>
        </row>
      </sheetData>
      <sheetData sheetId="53">
        <row r="36">
          <cell r="G36">
            <v>-20498.01</v>
          </cell>
        </row>
        <row r="37">
          <cell r="G37">
            <v>50070.045</v>
          </cell>
        </row>
      </sheetData>
      <sheetData sheetId="54">
        <row r="35">
          <cell r="G35">
            <v>26461.354600000002</v>
          </cell>
        </row>
      </sheetData>
      <sheetData sheetId="55">
        <row r="35">
          <cell r="G35">
            <v>2517.032</v>
          </cell>
        </row>
      </sheetData>
      <sheetData sheetId="56">
        <row r="35">
          <cell r="G35">
            <v>-14833.3084</v>
          </cell>
        </row>
      </sheetData>
      <sheetData sheetId="57">
        <row r="35">
          <cell r="G35">
            <v>20863.7687</v>
          </cell>
        </row>
      </sheetData>
      <sheetData sheetId="58">
        <row r="35">
          <cell r="G35">
            <v>36498.7269</v>
          </cell>
        </row>
      </sheetData>
      <sheetData sheetId="59">
        <row r="35">
          <cell r="G35">
            <v>21037.702100000002</v>
          </cell>
        </row>
      </sheetData>
      <sheetData sheetId="60">
        <row r="35">
          <cell r="G35">
            <v>-116368.65829999998</v>
          </cell>
        </row>
      </sheetData>
      <sheetData sheetId="61">
        <row r="35">
          <cell r="G35">
            <v>-56225.7593</v>
          </cell>
        </row>
      </sheetData>
      <sheetData sheetId="62">
        <row r="35">
          <cell r="G35">
            <v>64144.586899999995</v>
          </cell>
        </row>
      </sheetData>
      <sheetData sheetId="63">
        <row r="35">
          <cell r="G35">
            <v>50819.499599999996</v>
          </cell>
        </row>
      </sheetData>
      <sheetData sheetId="64">
        <row r="35">
          <cell r="G35">
            <v>102560.131</v>
          </cell>
        </row>
      </sheetData>
      <sheetData sheetId="65">
        <row r="35">
          <cell r="G35">
            <v>34917.8198</v>
          </cell>
        </row>
      </sheetData>
      <sheetData sheetId="66">
        <row r="35">
          <cell r="G35">
            <v>-33705.85770000001</v>
          </cell>
        </row>
      </sheetData>
      <sheetData sheetId="67">
        <row r="35">
          <cell r="G35">
            <v>153182.81759999998</v>
          </cell>
        </row>
      </sheetData>
      <sheetData sheetId="68">
        <row r="35">
          <cell r="G35">
            <v>22942.409499999998</v>
          </cell>
        </row>
      </sheetData>
      <sheetData sheetId="69">
        <row r="35">
          <cell r="G35">
            <v>-20177.498099999997</v>
          </cell>
        </row>
      </sheetData>
      <sheetData sheetId="70">
        <row r="35">
          <cell r="G35">
            <v>56461.053199999995</v>
          </cell>
        </row>
      </sheetData>
      <sheetData sheetId="71">
        <row r="35">
          <cell r="G35">
            <v>146075.8973</v>
          </cell>
        </row>
      </sheetData>
      <sheetData sheetId="72">
        <row r="36">
          <cell r="G36">
            <v>41501.4929</v>
          </cell>
        </row>
      </sheetData>
      <sheetData sheetId="73">
        <row r="36">
          <cell r="G36">
            <v>59731.394799999995</v>
          </cell>
        </row>
      </sheetData>
      <sheetData sheetId="74">
        <row r="35">
          <cell r="G35">
            <v>-44077.86360000001</v>
          </cell>
        </row>
      </sheetData>
      <sheetData sheetId="75">
        <row r="35">
          <cell r="G35">
            <v>86149.1298</v>
          </cell>
        </row>
      </sheetData>
      <sheetData sheetId="76">
        <row r="35">
          <cell r="G35">
            <v>-8194.491399999999</v>
          </cell>
        </row>
      </sheetData>
      <sheetData sheetId="77">
        <row r="35">
          <cell r="G35">
            <v>-175679.189</v>
          </cell>
        </row>
      </sheetData>
      <sheetData sheetId="78">
        <row r="35">
          <cell r="G35">
            <v>5783.841899999999</v>
          </cell>
        </row>
      </sheetData>
      <sheetData sheetId="79">
        <row r="35">
          <cell r="G35">
            <v>-111404.72</v>
          </cell>
        </row>
      </sheetData>
      <sheetData sheetId="80">
        <row r="35">
          <cell r="G35">
            <v>-55966.01950000001</v>
          </cell>
        </row>
      </sheetData>
      <sheetData sheetId="81">
        <row r="35">
          <cell r="G35">
            <v>44209.787000000004</v>
          </cell>
        </row>
      </sheetData>
      <sheetData sheetId="82">
        <row r="35">
          <cell r="G35">
            <v>-103904.92999999996</v>
          </cell>
        </row>
        <row r="36">
          <cell r="G36">
            <v>-191903.57</v>
          </cell>
        </row>
      </sheetData>
      <sheetData sheetId="83">
        <row r="97">
          <cell r="G97">
            <v>352338.50800000015</v>
          </cell>
        </row>
      </sheetData>
      <sheetData sheetId="84">
        <row r="36">
          <cell r="G36">
            <v>70164.0774</v>
          </cell>
        </row>
      </sheetData>
      <sheetData sheetId="85">
        <row r="36">
          <cell r="G36">
            <v>437050.3691</v>
          </cell>
        </row>
      </sheetData>
      <sheetData sheetId="86">
        <row r="35">
          <cell r="G35">
            <v>-2275.1508999999987</v>
          </cell>
        </row>
      </sheetData>
      <sheetData sheetId="87">
        <row r="35">
          <cell r="G35">
            <v>6609.903100000003</v>
          </cell>
        </row>
      </sheetData>
      <sheetData sheetId="88">
        <row r="35">
          <cell r="G35">
            <v>59675.7934</v>
          </cell>
        </row>
      </sheetData>
      <sheetData sheetId="89">
        <row r="35">
          <cell r="G35">
            <v>29218.610399999998</v>
          </cell>
        </row>
        <row r="36">
          <cell r="G36">
            <v>40388.96</v>
          </cell>
        </row>
      </sheetData>
      <sheetData sheetId="90">
        <row r="35">
          <cell r="G35">
            <v>1349.9038000000073</v>
          </cell>
        </row>
      </sheetData>
      <sheetData sheetId="91">
        <row r="35">
          <cell r="G35">
            <v>14867.7728</v>
          </cell>
        </row>
      </sheetData>
      <sheetData sheetId="92">
        <row r="35">
          <cell r="G35">
            <v>-13970.360700000001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0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10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9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9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P57"/>
  <sheetViews>
    <sheetView zoomScalePageLayoutView="0" workbookViewId="0" topLeftCell="A1">
      <selection activeCell="G37" sqref="G37"/>
    </sheetView>
  </sheetViews>
  <sheetFormatPr defaultColWidth="9.140625" defaultRowHeight="15" outlineLevelCol="2"/>
  <cols>
    <col min="1" max="1" width="3.57421875" style="61" customWidth="1"/>
    <col min="2" max="2" width="40.421875" style="61" customWidth="1"/>
    <col min="3" max="3" width="14.57421875" style="135" customWidth="1"/>
    <col min="4" max="4" width="14.8515625" style="61" customWidth="1"/>
    <col min="5" max="5" width="13.28125" style="61" customWidth="1"/>
    <col min="6" max="6" width="13.140625" style="61" customWidth="1"/>
    <col min="7" max="7" width="14.57421875" style="61" customWidth="1"/>
    <col min="8" max="9" width="11.57421875" style="61" hidden="1" customWidth="1" outlineLevel="2"/>
    <col min="10" max="10" width="10.140625" style="61" hidden="1" customWidth="1" outlineLevel="2"/>
    <col min="11" max="11" width="10.421875" style="61" hidden="1" customWidth="1" outlineLevel="2"/>
    <col min="12" max="13" width="9.140625" style="61" hidden="1" customWidth="1" outlineLevel="2"/>
    <col min="14" max="14" width="9.140625" style="61" hidden="1" customWidth="1" outlineLevel="1"/>
    <col min="15" max="15" width="10.00390625" style="61" hidden="1" customWidth="1" outlineLevel="1"/>
    <col min="16" max="16" width="15.8515625" style="61" customWidth="1" collapsed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C7" s="136"/>
      <c r="F7" s="64" t="s">
        <v>53</v>
      </c>
      <c r="H7" s="64"/>
    </row>
    <row r="8" spans="1:8" s="63" customFormat="1" ht="12.75">
      <c r="A8" s="63" t="s">
        <v>3</v>
      </c>
      <c r="C8" s="136"/>
      <c r="F8" s="64" t="s">
        <v>136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824268.52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137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556</v>
      </c>
      <c r="B14" s="68"/>
      <c r="C14" s="138"/>
      <c r="D14" s="73"/>
      <c r="E14" s="74"/>
      <c r="F14" s="74"/>
      <c r="G14" s="69">
        <f>'[1]Телевизионная 2а'!$G$36</f>
        <v>11577.509999999998</v>
      </c>
      <c r="H14" s="66"/>
      <c r="I14" s="66"/>
    </row>
    <row r="15" spans="1:9" s="71" customFormat="1" ht="15.75" thickBot="1">
      <c r="A15" s="67" t="s">
        <v>514</v>
      </c>
      <c r="B15" s="68"/>
      <c r="C15" s="138"/>
      <c r="D15" s="73"/>
      <c r="E15" s="74"/>
      <c r="F15" s="74"/>
      <c r="G15" s="69">
        <f>'[1]Телевизионная 2а'!$G$37</f>
        <v>69534.4674</v>
      </c>
      <c r="H15" s="66"/>
      <c r="I15" s="66"/>
    </row>
    <row r="16" s="63" customFormat="1" ht="6.75" customHeight="1">
      <c r="C16" s="136"/>
    </row>
    <row r="17" spans="1:7" s="78" customFormat="1" ht="38.25">
      <c r="A17" s="76" t="s">
        <v>11</v>
      </c>
      <c r="B17" s="76" t="s">
        <v>12</v>
      </c>
      <c r="C17" s="76" t="s">
        <v>94</v>
      </c>
      <c r="D17" s="76" t="s">
        <v>283</v>
      </c>
      <c r="E17" s="76" t="s">
        <v>284</v>
      </c>
      <c r="F17" s="77" t="s">
        <v>298</v>
      </c>
      <c r="G17" s="76" t="s">
        <v>299</v>
      </c>
    </row>
    <row r="18" spans="1:16" s="83" customFormat="1" ht="14.25">
      <c r="A18" s="139" t="s">
        <v>14</v>
      </c>
      <c r="B18" s="140" t="s">
        <v>15</v>
      </c>
      <c r="C18" s="141">
        <f>C19+C20+C21+C22</f>
        <v>9.969999999999999</v>
      </c>
      <c r="D18" s="80">
        <v>302921.47</v>
      </c>
      <c r="E18" s="80">
        <v>289162.41</v>
      </c>
      <c r="F18" s="80">
        <f aca="true" t="shared" si="0" ref="F18:F27">D18</f>
        <v>302921.47</v>
      </c>
      <c r="G18" s="81">
        <f aca="true" t="shared" si="1" ref="G18:G27">D18-E18</f>
        <v>13759.059999999998</v>
      </c>
      <c r="H18" s="142">
        <f>C18</f>
        <v>9.969999999999999</v>
      </c>
      <c r="O18" s="142"/>
      <c r="P18" s="143"/>
    </row>
    <row r="19" spans="1:9" s="63" customFormat="1" ht="15">
      <c r="A19" s="144" t="s">
        <v>16</v>
      </c>
      <c r="B19" s="145" t="s">
        <v>17</v>
      </c>
      <c r="C19" s="103">
        <v>3.34</v>
      </c>
      <c r="D19" s="87">
        <f>D18*I19</f>
        <v>101480.21161484452</v>
      </c>
      <c r="E19" s="87">
        <f>E18*I19</f>
        <v>96870.85751253761</v>
      </c>
      <c r="F19" s="87">
        <f t="shared" si="0"/>
        <v>101480.21161484452</v>
      </c>
      <c r="G19" s="88">
        <f t="shared" si="1"/>
        <v>4609.354102306912</v>
      </c>
      <c r="H19" s="82">
        <f>C19</f>
        <v>3.34</v>
      </c>
      <c r="I19" s="63">
        <f>H19/H18</f>
        <v>0.3350050150451354</v>
      </c>
    </row>
    <row r="20" spans="1:9" s="63" customFormat="1" ht="15">
      <c r="A20" s="144" t="s">
        <v>18</v>
      </c>
      <c r="B20" s="145" t="s">
        <v>19</v>
      </c>
      <c r="C20" s="103">
        <v>1.63</v>
      </c>
      <c r="D20" s="87">
        <f>D18*I20</f>
        <v>49524.77393179539</v>
      </c>
      <c r="E20" s="87">
        <f>E18*I20</f>
        <v>47275.29872617854</v>
      </c>
      <c r="F20" s="87">
        <f t="shared" si="0"/>
        <v>49524.77393179539</v>
      </c>
      <c r="G20" s="88">
        <f t="shared" si="1"/>
        <v>2249.475205616851</v>
      </c>
      <c r="H20" s="82">
        <f>C20</f>
        <v>1.63</v>
      </c>
      <c r="I20" s="63">
        <f>H20/H18</f>
        <v>0.16349047141424275</v>
      </c>
    </row>
    <row r="21" spans="1:9" s="63" customFormat="1" ht="15">
      <c r="A21" s="144" t="s">
        <v>20</v>
      </c>
      <c r="B21" s="145" t="s">
        <v>21</v>
      </c>
      <c r="C21" s="103">
        <v>2.07</v>
      </c>
      <c r="D21" s="87">
        <f>D18*I21</f>
        <v>62893.42456369107</v>
      </c>
      <c r="E21" s="87">
        <f>E18*I21</f>
        <v>60036.72905717151</v>
      </c>
      <c r="F21" s="87">
        <f t="shared" si="0"/>
        <v>62893.42456369107</v>
      </c>
      <c r="G21" s="88">
        <f t="shared" si="1"/>
        <v>2856.695506519558</v>
      </c>
      <c r="H21" s="82">
        <f>C21</f>
        <v>2.07</v>
      </c>
      <c r="I21" s="63">
        <f>H21/H18</f>
        <v>0.20762286860581747</v>
      </c>
    </row>
    <row r="22" spans="1:9" s="63" customFormat="1" ht="15">
      <c r="A22" s="144" t="s">
        <v>22</v>
      </c>
      <c r="B22" s="145" t="s">
        <v>23</v>
      </c>
      <c r="C22" s="103">
        <v>2.93</v>
      </c>
      <c r="D22" s="87">
        <f>D18*I22</f>
        <v>89023.059889669</v>
      </c>
      <c r="E22" s="87">
        <f>E18*I22</f>
        <v>84979.52470411234</v>
      </c>
      <c r="F22" s="87">
        <f t="shared" si="0"/>
        <v>89023.059889669</v>
      </c>
      <c r="G22" s="88">
        <f t="shared" si="1"/>
        <v>4043.5351855566696</v>
      </c>
      <c r="H22" s="82">
        <f>C22</f>
        <v>2.93</v>
      </c>
      <c r="I22" s="63">
        <f>H22/H18</f>
        <v>0.29388164493480445</v>
      </c>
    </row>
    <row r="23" spans="1:7" s="92" customFormat="1" ht="15">
      <c r="A23" s="146" t="s">
        <v>25</v>
      </c>
      <c r="B23" s="146" t="s">
        <v>26</v>
      </c>
      <c r="C23" s="147">
        <v>0</v>
      </c>
      <c r="D23" s="87">
        <f>D18*I23</f>
        <v>0</v>
      </c>
      <c r="E23" s="87">
        <f>E18*I23</f>
        <v>0</v>
      </c>
      <c r="F23" s="91">
        <f t="shared" si="0"/>
        <v>0</v>
      </c>
      <c r="G23" s="91">
        <f t="shared" si="1"/>
        <v>0</v>
      </c>
    </row>
    <row r="24" spans="1:7" s="92" customFormat="1" ht="14.25">
      <c r="A24" s="146" t="s">
        <v>27</v>
      </c>
      <c r="B24" s="146" t="s">
        <v>28</v>
      </c>
      <c r="C24" s="147">
        <v>0</v>
      </c>
      <c r="D24" s="91">
        <v>0</v>
      </c>
      <c r="E24" s="91"/>
      <c r="F24" s="91">
        <f t="shared" si="0"/>
        <v>0</v>
      </c>
      <c r="G24" s="91">
        <f t="shared" si="1"/>
        <v>0</v>
      </c>
    </row>
    <row r="25" spans="1:7" s="92" customFormat="1" ht="14.25">
      <c r="A25" s="146" t="s">
        <v>29</v>
      </c>
      <c r="B25" s="146" t="s">
        <v>170</v>
      </c>
      <c r="C25" s="147" t="s">
        <v>307</v>
      </c>
      <c r="D25" s="91"/>
      <c r="E25" s="91"/>
      <c r="F25" s="91">
        <f t="shared" si="0"/>
        <v>0</v>
      </c>
      <c r="G25" s="91">
        <f t="shared" si="1"/>
        <v>0</v>
      </c>
    </row>
    <row r="26" spans="1:7" s="92" customFormat="1" ht="14.25">
      <c r="A26" s="146" t="s">
        <v>31</v>
      </c>
      <c r="B26" s="146" t="s">
        <v>119</v>
      </c>
      <c r="C26" s="147">
        <v>1.99</v>
      </c>
      <c r="D26" s="91">
        <v>57876.28</v>
      </c>
      <c r="E26" s="91">
        <v>57633.77</v>
      </c>
      <c r="F26" s="91">
        <f>G42</f>
        <v>37649.8877</v>
      </c>
      <c r="G26" s="91">
        <f t="shared" si="1"/>
        <v>242.51000000000204</v>
      </c>
    </row>
    <row r="27" spans="1:7" s="102" customFormat="1" ht="14.25">
      <c r="A27" s="140" t="s">
        <v>33</v>
      </c>
      <c r="B27" s="140" t="s">
        <v>34</v>
      </c>
      <c r="C27" s="148">
        <v>0</v>
      </c>
      <c r="D27" s="81">
        <v>0</v>
      </c>
      <c r="E27" s="81">
        <v>2141.93</v>
      </c>
      <c r="F27" s="91">
        <f t="shared" si="0"/>
        <v>0</v>
      </c>
      <c r="G27" s="91">
        <f t="shared" si="1"/>
        <v>-2141.93</v>
      </c>
    </row>
    <row r="28" spans="1:7" s="102" customFormat="1" ht="14.25">
      <c r="A28" s="140" t="s">
        <v>35</v>
      </c>
      <c r="B28" s="140" t="s">
        <v>36</v>
      </c>
      <c r="C28" s="141"/>
      <c r="D28" s="81">
        <f>SUM(D29:D32)</f>
        <v>1430724.87</v>
      </c>
      <c r="E28" s="81">
        <f>SUM(E29:E32)</f>
        <v>1421387.13</v>
      </c>
      <c r="F28" s="81">
        <f>SUM(F29:F32)</f>
        <v>1430724.87</v>
      </c>
      <c r="G28" s="81">
        <f>SUM(G29:G32)</f>
        <v>-9337.740000000063</v>
      </c>
    </row>
    <row r="29" spans="1:7" ht="15">
      <c r="A29" s="145" t="s">
        <v>37</v>
      </c>
      <c r="B29" s="34" t="s">
        <v>174</v>
      </c>
      <c r="C29" s="103" t="s">
        <v>300</v>
      </c>
      <c r="D29" s="88">
        <v>99373</v>
      </c>
      <c r="E29" s="88">
        <v>87389.46</v>
      </c>
      <c r="F29" s="88">
        <f>D29</f>
        <v>99373</v>
      </c>
      <c r="G29" s="88">
        <f>E29-D29</f>
        <v>-11983.539999999994</v>
      </c>
    </row>
    <row r="30" spans="1:7" ht="15">
      <c r="A30" s="145" t="s">
        <v>39</v>
      </c>
      <c r="B30" s="34" t="s">
        <v>142</v>
      </c>
      <c r="C30" s="103" t="s">
        <v>315</v>
      </c>
      <c r="D30" s="88">
        <v>236614.33</v>
      </c>
      <c r="E30" s="88">
        <v>251578.52</v>
      </c>
      <c r="F30" s="88">
        <f>D30</f>
        <v>236614.33</v>
      </c>
      <c r="G30" s="88">
        <f>E30-D30</f>
        <v>14964.190000000002</v>
      </c>
    </row>
    <row r="31" spans="1:7" ht="15">
      <c r="A31" s="145" t="s">
        <v>42</v>
      </c>
      <c r="B31" s="145" t="s">
        <v>143</v>
      </c>
      <c r="C31" s="149" t="s">
        <v>382</v>
      </c>
      <c r="D31" s="88">
        <v>418395.76</v>
      </c>
      <c r="E31" s="88">
        <v>426111.18</v>
      </c>
      <c r="F31" s="88">
        <f>D31</f>
        <v>418395.76</v>
      </c>
      <c r="G31" s="88">
        <f>E31-D31</f>
        <v>7715.419999999984</v>
      </c>
    </row>
    <row r="32" spans="1:7" ht="15">
      <c r="A32" s="145" t="s">
        <v>41</v>
      </c>
      <c r="B32" s="145" t="s">
        <v>43</v>
      </c>
      <c r="C32" s="103" t="s">
        <v>301</v>
      </c>
      <c r="D32" s="88">
        <v>676341.78</v>
      </c>
      <c r="E32" s="88">
        <v>656307.97</v>
      </c>
      <c r="F32" s="88">
        <f>D32</f>
        <v>676341.78</v>
      </c>
      <c r="G32" s="88">
        <f>E32-D32</f>
        <v>-20033.810000000056</v>
      </c>
    </row>
    <row r="33" spans="1:9" s="106" customFormat="1" ht="7.5" customHeight="1" thickBot="1">
      <c r="A33" s="104"/>
      <c r="B33" s="104"/>
      <c r="C33" s="150"/>
      <c r="D33" s="105"/>
      <c r="E33" s="105"/>
      <c r="F33" s="105"/>
      <c r="G33" s="105"/>
      <c r="H33" s="105"/>
      <c r="I33" s="105"/>
    </row>
    <row r="34" spans="1:9" s="71" customFormat="1" ht="15.75" thickBot="1">
      <c r="A34" s="319" t="s">
        <v>420</v>
      </c>
      <c r="B34" s="320"/>
      <c r="C34" s="320"/>
      <c r="D34" s="69">
        <f>D12+D18+D23+D24+D25+D26+D27+D28-E18-E23-E24-E25-E26-E27-E28</f>
        <v>845465.8999999999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137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138"/>
      <c r="D36" s="73"/>
      <c r="E36" s="74"/>
      <c r="F36" s="74"/>
      <c r="G36" s="151">
        <f>G14+E27-F27</f>
        <v>13719.439999999999</v>
      </c>
      <c r="H36" s="66"/>
      <c r="I36" s="66"/>
    </row>
    <row r="37" spans="1:16" s="71" customFormat="1" ht="15.75" thickBot="1">
      <c r="A37" s="67" t="s">
        <v>558</v>
      </c>
      <c r="B37" s="68"/>
      <c r="C37" s="138"/>
      <c r="D37" s="73"/>
      <c r="E37" s="74"/>
      <c r="F37" s="74"/>
      <c r="G37" s="151">
        <f>G15+E26-F26</f>
        <v>89518.34969999999</v>
      </c>
      <c r="H37" s="66"/>
      <c r="I37" s="66"/>
      <c r="P37" s="152"/>
    </row>
    <row r="38" spans="1:13" s="106" customFormat="1" ht="9.75" customHeight="1">
      <c r="A38" s="108"/>
      <c r="B38" s="108"/>
      <c r="C38" s="153"/>
      <c r="D38" s="108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1" ht="23.25" customHeight="1">
      <c r="A39" s="321" t="s">
        <v>44</v>
      </c>
      <c r="B39" s="321"/>
      <c r="C39" s="321"/>
      <c r="D39" s="321"/>
      <c r="E39" s="321"/>
      <c r="F39" s="321"/>
      <c r="G39" s="321"/>
      <c r="H39" s="154"/>
      <c r="I39" s="154"/>
      <c r="J39" s="154"/>
      <c r="K39" s="154"/>
    </row>
    <row r="41" spans="1:12" s="78" customFormat="1" ht="37.5" customHeight="1">
      <c r="A41" s="76" t="s">
        <v>11</v>
      </c>
      <c r="B41" s="322" t="s">
        <v>45</v>
      </c>
      <c r="C41" s="323"/>
      <c r="D41" s="324"/>
      <c r="E41" s="76" t="s">
        <v>172</v>
      </c>
      <c r="F41" s="76" t="s">
        <v>171</v>
      </c>
      <c r="G41" s="76" t="s">
        <v>46</v>
      </c>
      <c r="L41" s="112"/>
    </row>
    <row r="42" spans="1:12" s="119" customFormat="1" ht="15" customHeight="1">
      <c r="A42" s="113" t="s">
        <v>47</v>
      </c>
      <c r="B42" s="312" t="s">
        <v>114</v>
      </c>
      <c r="C42" s="313"/>
      <c r="D42" s="314"/>
      <c r="E42" s="115"/>
      <c r="F42" s="115"/>
      <c r="G42" s="116">
        <f>SUM(G43:O49)</f>
        <v>37649.8877</v>
      </c>
      <c r="L42" s="120"/>
    </row>
    <row r="43" spans="1:12" ht="15.75" customHeight="1">
      <c r="A43" s="145" t="s">
        <v>16</v>
      </c>
      <c r="B43" s="315" t="s">
        <v>332</v>
      </c>
      <c r="C43" s="316"/>
      <c r="D43" s="317"/>
      <c r="E43" s="158" t="s">
        <v>261</v>
      </c>
      <c r="F43" s="159">
        <v>0.05</v>
      </c>
      <c r="G43" s="160">
        <v>4273.31</v>
      </c>
      <c r="L43" s="124"/>
    </row>
    <row r="44" spans="1:12" ht="15.75" customHeight="1">
      <c r="A44" s="145" t="s">
        <v>18</v>
      </c>
      <c r="B44" s="315" t="s">
        <v>333</v>
      </c>
      <c r="C44" s="316"/>
      <c r="D44" s="317"/>
      <c r="E44" s="158" t="s">
        <v>334</v>
      </c>
      <c r="F44" s="159">
        <v>4</v>
      </c>
      <c r="G44" s="160">
        <v>5200</v>
      </c>
      <c r="L44" s="124"/>
    </row>
    <row r="45" spans="1:12" ht="15.75" customHeight="1">
      <c r="A45" s="145" t="s">
        <v>20</v>
      </c>
      <c r="B45" s="315" t="s">
        <v>335</v>
      </c>
      <c r="C45" s="316"/>
      <c r="D45" s="317"/>
      <c r="E45" s="158"/>
      <c r="F45" s="159" t="s">
        <v>336</v>
      </c>
      <c r="G45" s="160">
        <v>3856.74</v>
      </c>
      <c r="L45" s="124"/>
    </row>
    <row r="46" spans="1:12" ht="15.75" customHeight="1">
      <c r="A46" s="145" t="s">
        <v>22</v>
      </c>
      <c r="B46" s="315" t="s">
        <v>337</v>
      </c>
      <c r="C46" s="316"/>
      <c r="D46" s="317"/>
      <c r="E46" s="158" t="s">
        <v>262</v>
      </c>
      <c r="F46" s="159">
        <v>10</v>
      </c>
      <c r="G46" s="160">
        <v>13000</v>
      </c>
      <c r="L46" s="124"/>
    </row>
    <row r="47" spans="1:12" ht="24" customHeight="1">
      <c r="A47" s="145" t="s">
        <v>24</v>
      </c>
      <c r="B47" s="315" t="s">
        <v>180</v>
      </c>
      <c r="C47" s="316"/>
      <c r="D47" s="317"/>
      <c r="E47" s="158"/>
      <c r="F47" s="159" t="s">
        <v>317</v>
      </c>
      <c r="G47" s="160">
        <v>1083.5</v>
      </c>
      <c r="L47" s="124"/>
    </row>
    <row r="48" spans="1:12" ht="15.75" customHeight="1">
      <c r="A48" s="145" t="s">
        <v>106</v>
      </c>
      <c r="B48" s="325" t="s">
        <v>663</v>
      </c>
      <c r="C48" s="326"/>
      <c r="D48" s="327"/>
      <c r="E48" s="158"/>
      <c r="F48" s="159" t="s">
        <v>286</v>
      </c>
      <c r="G48" s="160">
        <v>9660</v>
      </c>
      <c r="L48" s="124"/>
    </row>
    <row r="49" spans="1:12" ht="15.75" customHeight="1">
      <c r="A49" s="145" t="s">
        <v>107</v>
      </c>
      <c r="B49" s="155" t="s">
        <v>206</v>
      </c>
      <c r="C49" s="156"/>
      <c r="D49" s="157"/>
      <c r="E49" s="158"/>
      <c r="F49" s="159"/>
      <c r="G49" s="160">
        <f>E26*1%</f>
        <v>576.3376999999999</v>
      </c>
      <c r="L49" s="124"/>
    </row>
    <row r="50" spans="2:6" ht="13.5" customHeight="1">
      <c r="B50" s="162"/>
      <c r="D50" s="162"/>
      <c r="E50" s="162"/>
      <c r="F50" s="162"/>
    </row>
    <row r="51" spans="1:5" s="63" customFormat="1" ht="12.75">
      <c r="A51" s="63" t="s">
        <v>55</v>
      </c>
      <c r="C51" s="136" t="s">
        <v>49</v>
      </c>
      <c r="E51" s="63" t="s">
        <v>93</v>
      </c>
    </row>
    <row r="52" s="63" customFormat="1" ht="12.75">
      <c r="C52" s="136"/>
    </row>
    <row r="53" spans="3:6" s="71" customFormat="1" ht="15">
      <c r="C53" s="163"/>
      <c r="F53" s="132" t="s">
        <v>331</v>
      </c>
    </row>
    <row r="54" spans="1:3" s="63" customFormat="1" ht="9" customHeight="1">
      <c r="A54" s="63" t="s">
        <v>50</v>
      </c>
      <c r="C54" s="136"/>
    </row>
    <row r="55" spans="3:10" s="63" customFormat="1" ht="12.75">
      <c r="C55" s="136" t="s">
        <v>51</v>
      </c>
      <c r="G55" s="164"/>
      <c r="H55" s="164"/>
      <c r="I55" s="164"/>
      <c r="J55" s="164"/>
    </row>
    <row r="56" spans="3:9" s="63" customFormat="1" ht="12.75">
      <c r="C56" s="136"/>
      <c r="I56" s="63" t="s">
        <v>219</v>
      </c>
    </row>
    <row r="57" s="63" customFormat="1" ht="12.75">
      <c r="C57" s="136"/>
    </row>
  </sheetData>
  <sheetProtection/>
  <mergeCells count="18">
    <mergeCell ref="B45:D45"/>
    <mergeCell ref="B46:D46"/>
    <mergeCell ref="B47:D47"/>
    <mergeCell ref="B48:D48"/>
    <mergeCell ref="A10:K10"/>
    <mergeCell ref="A1:K1"/>
    <mergeCell ref="A2:K2"/>
    <mergeCell ref="A3:K3"/>
    <mergeCell ref="A5:K5"/>
    <mergeCell ref="A9:K9"/>
    <mergeCell ref="B42:D42"/>
    <mergeCell ref="B43:D43"/>
    <mergeCell ref="B44:D44"/>
    <mergeCell ref="A11:K11"/>
    <mergeCell ref="A12:C12"/>
    <mergeCell ref="A34:C34"/>
    <mergeCell ref="A39:G39"/>
    <mergeCell ref="B41:D41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4"/>
  <sheetViews>
    <sheetView zoomScalePageLayoutView="0" workbookViewId="0" topLeftCell="A25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7.7109375" style="35" customWidth="1"/>
    <col min="3" max="3" width="13.28125" style="35" customWidth="1"/>
    <col min="4" max="4" width="13.140625" style="35" customWidth="1"/>
    <col min="5" max="5" width="13.8515625" style="35" customWidth="1"/>
    <col min="6" max="6" width="13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10.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5" s="71" customFormat="1" ht="16.5" customHeight="1">
      <c r="A7" s="71" t="s">
        <v>2</v>
      </c>
      <c r="E7" s="132" t="s">
        <v>61</v>
      </c>
    </row>
    <row r="8" spans="1:5" s="71" customFormat="1" ht="15">
      <c r="A8" s="71" t="s">
        <v>3</v>
      </c>
      <c r="E8" s="132" t="s">
        <v>302</v>
      </c>
    </row>
    <row r="9" s="71" customFormat="1" ht="8.2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676601.78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'[1]Социалистическая 6'!$G$37</f>
        <v>86554.33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'[1]Социалистическая 6'!$G$38</f>
        <v>226002.5399</v>
      </c>
      <c r="H16" s="66"/>
      <c r="I16" s="66"/>
    </row>
    <row r="17" s="71" customFormat="1" ht="7.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175" customFormat="1" ht="28.5">
      <c r="A19" s="79" t="s">
        <v>14</v>
      </c>
      <c r="B19" s="41" t="s">
        <v>15</v>
      </c>
      <c r="C19" s="141">
        <f>C20+C21+C22+C23</f>
        <v>9.969999999999999</v>
      </c>
      <c r="D19" s="80">
        <v>304985.88</v>
      </c>
      <c r="E19" s="80">
        <v>281635.62</v>
      </c>
      <c r="F19" s="80">
        <f>D19</f>
        <v>304985.88</v>
      </c>
      <c r="G19" s="81">
        <f aca="true" t="shared" si="0" ref="G19:G28">E19-D19</f>
        <v>-23350.26000000001</v>
      </c>
      <c r="H19" s="82">
        <f>C19</f>
        <v>9.969999999999999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102171.79931795386</v>
      </c>
      <c r="E20" s="87">
        <f>E19*I20</f>
        <v>94349.34511534603</v>
      </c>
      <c r="F20" s="87">
        <f>D20</f>
        <v>102171.79931795386</v>
      </c>
      <c r="G20" s="88">
        <f t="shared" si="0"/>
        <v>-7822.454202607827</v>
      </c>
      <c r="H20" s="82">
        <f>C20</f>
        <v>3.34</v>
      </c>
      <c r="I20" s="71">
        <f>H20/H19</f>
        <v>0.3350050150451354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49862.28529588767</v>
      </c>
      <c r="E21" s="87">
        <f>E19*I21</f>
        <v>46044.74028084253</v>
      </c>
      <c r="F21" s="87">
        <f>D21</f>
        <v>49862.28529588767</v>
      </c>
      <c r="G21" s="88">
        <f t="shared" si="0"/>
        <v>-3817.545015045136</v>
      </c>
      <c r="H21" s="82">
        <f>C21</f>
        <v>1.63</v>
      </c>
      <c r="I21" s="71">
        <f>H21/H19</f>
        <v>0.16349047141424275</v>
      </c>
    </row>
    <row r="22" spans="1:9" s="71" customFormat="1" ht="15">
      <c r="A22" s="85" t="s">
        <v>20</v>
      </c>
      <c r="B22" s="34" t="s">
        <v>21</v>
      </c>
      <c r="C22" s="103">
        <v>2.07</v>
      </c>
      <c r="D22" s="87">
        <f>D19*I22</f>
        <v>63322.043289869616</v>
      </c>
      <c r="E22" s="87">
        <f>E19*I22</f>
        <v>58473.995325977936</v>
      </c>
      <c r="F22" s="87">
        <f>D22</f>
        <v>63322.043289869616</v>
      </c>
      <c r="G22" s="88">
        <f t="shared" si="0"/>
        <v>-4848.04796389168</v>
      </c>
      <c r="H22" s="82">
        <f>C22</f>
        <v>2.07</v>
      </c>
      <c r="I22" s="71">
        <f>H22/H19</f>
        <v>0.20762286860581747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89629.75209628888</v>
      </c>
      <c r="E23" s="87">
        <f>E19*I23</f>
        <v>82767.53927783351</v>
      </c>
      <c r="F23" s="87">
        <f>D23</f>
        <v>89629.75209628888</v>
      </c>
      <c r="G23" s="88">
        <f t="shared" si="0"/>
        <v>-6862.212818455373</v>
      </c>
      <c r="H23" s="82">
        <f>C23</f>
        <v>2.93</v>
      </c>
      <c r="I23" s="71">
        <f>H23/H19</f>
        <v>0.29388164493480445</v>
      </c>
    </row>
    <row r="24" spans="1:7" s="39" customFormat="1" ht="14.25">
      <c r="A24" s="41" t="s">
        <v>25</v>
      </c>
      <c r="B24" s="146" t="s">
        <v>26</v>
      </c>
      <c r="C24" s="147">
        <v>0</v>
      </c>
      <c r="D24" s="81">
        <v>0</v>
      </c>
      <c r="E24" s="81">
        <v>0</v>
      </c>
      <c r="F24" s="80">
        <f aca="true" t="shared" si="1" ref="F24:F33">D24</f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28</v>
      </c>
      <c r="C25" s="147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170</v>
      </c>
      <c r="C26" s="147">
        <v>39.62</v>
      </c>
      <c r="D26" s="81">
        <v>0</v>
      </c>
      <c r="E26" s="81">
        <v>0</v>
      </c>
      <c r="F26" s="80">
        <f t="shared" si="1"/>
        <v>0</v>
      </c>
      <c r="G26" s="81">
        <f t="shared" si="0"/>
        <v>0</v>
      </c>
    </row>
    <row r="27" spans="1:7" s="39" customFormat="1" ht="14.25">
      <c r="A27" s="41" t="s">
        <v>31</v>
      </c>
      <c r="B27" s="146" t="s">
        <v>119</v>
      </c>
      <c r="C27" s="147">
        <v>1.99</v>
      </c>
      <c r="D27" s="81">
        <v>183150.66</v>
      </c>
      <c r="E27" s="81">
        <v>164837.78</v>
      </c>
      <c r="F27" s="80">
        <f>F44</f>
        <v>19531.017799999998</v>
      </c>
      <c r="G27" s="81">
        <f t="shared" si="0"/>
        <v>-18312.880000000005</v>
      </c>
    </row>
    <row r="28" spans="1:7" s="39" customFormat="1" ht="14.25">
      <c r="A28" s="41" t="s">
        <v>33</v>
      </c>
      <c r="B28" s="140" t="s">
        <v>34</v>
      </c>
      <c r="C28" s="141">
        <v>0</v>
      </c>
      <c r="D28" s="81">
        <v>0</v>
      </c>
      <c r="E28" s="81">
        <v>0</v>
      </c>
      <c r="F28" s="80">
        <f>D28</f>
        <v>0</v>
      </c>
      <c r="G28" s="81">
        <f t="shared" si="0"/>
        <v>0</v>
      </c>
    </row>
    <row r="29" spans="1:7" s="39" customFormat="1" ht="14.25">
      <c r="A29" s="41" t="s">
        <v>35</v>
      </c>
      <c r="B29" s="140" t="s">
        <v>36</v>
      </c>
      <c r="C29" s="141"/>
      <c r="D29" s="81">
        <f>SUM(D30:D33)</f>
        <v>1701885.13</v>
      </c>
      <c r="E29" s="81">
        <f>SUM(E30:E33)</f>
        <v>1622039.5699999998</v>
      </c>
      <c r="F29" s="80">
        <f t="shared" si="1"/>
        <v>1701885.13</v>
      </c>
      <c r="G29" s="81">
        <f>SUM(G30:G33)</f>
        <v>-79845.55999999997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8636.82</v>
      </c>
      <c r="E30" s="88">
        <v>7990.72</v>
      </c>
      <c r="F30" s="87">
        <f>D30</f>
        <v>8636.82</v>
      </c>
      <c r="G30" s="88">
        <f>E30-D30</f>
        <v>-646.0999999999995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335946.41</v>
      </c>
      <c r="E31" s="88">
        <v>333479.15</v>
      </c>
      <c r="F31" s="87">
        <f t="shared" si="1"/>
        <v>335946.41</v>
      </c>
      <c r="G31" s="88">
        <f>E31-D31</f>
        <v>-2467.259999999951</v>
      </c>
    </row>
    <row r="32" spans="1:7" ht="15">
      <c r="A32" s="34" t="s">
        <v>42</v>
      </c>
      <c r="B32" s="34" t="s">
        <v>143</v>
      </c>
      <c r="C32" s="205" t="s">
        <v>382</v>
      </c>
      <c r="D32" s="88">
        <v>492205.41</v>
      </c>
      <c r="E32" s="88">
        <v>484753.85</v>
      </c>
      <c r="F32" s="87">
        <f t="shared" si="1"/>
        <v>492205.41</v>
      </c>
      <c r="G32" s="88">
        <f>E32-D32</f>
        <v>-7451.559999999998</v>
      </c>
    </row>
    <row r="33" spans="1:7" ht="15">
      <c r="A33" s="34" t="s">
        <v>41</v>
      </c>
      <c r="B33" s="34" t="s">
        <v>43</v>
      </c>
      <c r="C33" s="103" t="s">
        <v>301</v>
      </c>
      <c r="D33" s="88">
        <v>865096.49</v>
      </c>
      <c r="E33" s="88">
        <v>795815.85</v>
      </c>
      <c r="F33" s="87">
        <f t="shared" si="1"/>
        <v>865096.49</v>
      </c>
      <c r="G33" s="88">
        <f>E33-D33</f>
        <v>-69280.64000000001</v>
      </c>
    </row>
    <row r="34" spans="1:10" s="106" customFormat="1" ht="6.75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D13+D19+D24+D25+D26+D27+D28+D29-E19-E24-E25-E26-E27-E28-E29</f>
        <v>798110.4800000004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86554.33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371309.30210000003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2:5" ht="9" customHeight="1">
      <c r="B40" s="162"/>
      <c r="C40" s="162"/>
      <c r="D40" s="162"/>
      <c r="E40" s="162"/>
    </row>
    <row r="41" spans="1:9" ht="25.5" customHeight="1">
      <c r="A41" s="321" t="s">
        <v>44</v>
      </c>
      <c r="B41" s="321"/>
      <c r="C41" s="321"/>
      <c r="D41" s="321"/>
      <c r="E41" s="321"/>
      <c r="F41" s="321"/>
      <c r="G41" s="321"/>
      <c r="H41" s="321"/>
      <c r="I41" s="321"/>
    </row>
    <row r="42" ht="5.25" customHeight="1"/>
    <row r="43" spans="1:7" s="179" customFormat="1" ht="28.5" customHeight="1">
      <c r="A43" s="109" t="s">
        <v>11</v>
      </c>
      <c r="B43" s="340" t="s">
        <v>45</v>
      </c>
      <c r="C43" s="352"/>
      <c r="D43" s="109" t="s">
        <v>172</v>
      </c>
      <c r="E43" s="109" t="s">
        <v>171</v>
      </c>
      <c r="F43" s="340" t="s">
        <v>46</v>
      </c>
      <c r="G43" s="351"/>
    </row>
    <row r="44" spans="1:7" s="119" customFormat="1" ht="15" customHeight="1">
      <c r="A44" s="113" t="s">
        <v>47</v>
      </c>
      <c r="B44" s="342" t="s">
        <v>114</v>
      </c>
      <c r="C44" s="345"/>
      <c r="D44" s="180"/>
      <c r="E44" s="180"/>
      <c r="F44" s="356">
        <f>SUM(F45:G49)</f>
        <v>19531.017799999998</v>
      </c>
      <c r="G44" s="351"/>
    </row>
    <row r="45" spans="1:7" ht="15.75" customHeight="1">
      <c r="A45" s="34" t="s">
        <v>16</v>
      </c>
      <c r="B45" s="331" t="s">
        <v>303</v>
      </c>
      <c r="C45" s="346"/>
      <c r="D45" s="158" t="s">
        <v>261</v>
      </c>
      <c r="E45" s="158">
        <v>0.02</v>
      </c>
      <c r="F45" s="355">
        <v>3959.84</v>
      </c>
      <c r="G45" s="355"/>
    </row>
    <row r="46" spans="1:7" ht="15.75" customHeight="1">
      <c r="A46" s="34" t="s">
        <v>18</v>
      </c>
      <c r="B46" s="331" t="s">
        <v>764</v>
      </c>
      <c r="C46" s="346"/>
      <c r="D46" s="158" t="s">
        <v>261</v>
      </c>
      <c r="E46" s="158">
        <v>0.025</v>
      </c>
      <c r="F46" s="355">
        <v>3306</v>
      </c>
      <c r="G46" s="355"/>
    </row>
    <row r="47" spans="1:7" ht="15.75" customHeight="1">
      <c r="A47" s="34" t="s">
        <v>20</v>
      </c>
      <c r="B47" s="331" t="s">
        <v>264</v>
      </c>
      <c r="C47" s="346"/>
      <c r="D47" s="158" t="s">
        <v>173</v>
      </c>
      <c r="E47" s="158">
        <v>4</v>
      </c>
      <c r="F47" s="355">
        <v>1656.8</v>
      </c>
      <c r="G47" s="355"/>
    </row>
    <row r="48" spans="1:7" ht="15.75" customHeight="1">
      <c r="A48" s="34" t="s">
        <v>22</v>
      </c>
      <c r="B48" s="325" t="s">
        <v>663</v>
      </c>
      <c r="C48" s="350"/>
      <c r="D48" s="158"/>
      <c r="E48" s="159" t="s">
        <v>286</v>
      </c>
      <c r="F48" s="344">
        <v>8960</v>
      </c>
      <c r="G48" s="344"/>
    </row>
    <row r="49" spans="1:7" ht="15.75" customHeight="1">
      <c r="A49" s="34" t="s">
        <v>24</v>
      </c>
      <c r="B49" s="364" t="s">
        <v>207</v>
      </c>
      <c r="C49" s="365"/>
      <c r="D49" s="202"/>
      <c r="E49" s="202"/>
      <c r="F49" s="355">
        <f>E27*1%</f>
        <v>1648.3778</v>
      </c>
      <c r="G49" s="355"/>
    </row>
    <row r="50" s="71" customFormat="1" ht="15"/>
    <row r="51" spans="1:6" s="71" customFormat="1" ht="15">
      <c r="A51" s="71" t="s">
        <v>55</v>
      </c>
      <c r="C51" s="71" t="s">
        <v>49</v>
      </c>
      <c r="F51" s="71" t="s">
        <v>93</v>
      </c>
    </row>
    <row r="52" s="71" customFormat="1" ht="13.5" customHeight="1">
      <c r="F52" s="132" t="s">
        <v>296</v>
      </c>
    </row>
    <row r="53" s="71" customFormat="1" ht="15">
      <c r="A53" s="71" t="s">
        <v>50</v>
      </c>
    </row>
    <row r="54" spans="3:7" s="71" customFormat="1" ht="15">
      <c r="C54" s="134" t="s">
        <v>51</v>
      </c>
      <c r="E54" s="134"/>
      <c r="F54" s="134"/>
      <c r="G54" s="134"/>
    </row>
    <row r="55" s="71" customFormat="1" ht="15"/>
    <row r="56" s="71" customFormat="1" ht="15"/>
  </sheetData>
  <sheetProtection/>
  <mergeCells count="24">
    <mergeCell ref="B48:C48"/>
    <mergeCell ref="F48:G48"/>
    <mergeCell ref="F47:G47"/>
    <mergeCell ref="A11:I11"/>
    <mergeCell ref="A41:I41"/>
    <mergeCell ref="A13:C13"/>
    <mergeCell ref="A12:I12"/>
    <mergeCell ref="A35:C35"/>
    <mergeCell ref="A1:I1"/>
    <mergeCell ref="A2:I2"/>
    <mergeCell ref="A5:I5"/>
    <mergeCell ref="A10:I10"/>
    <mergeCell ref="A3:K3"/>
    <mergeCell ref="F43:G43"/>
    <mergeCell ref="F49:G49"/>
    <mergeCell ref="F44:G44"/>
    <mergeCell ref="F45:G45"/>
    <mergeCell ref="B43:C43"/>
    <mergeCell ref="B44:C44"/>
    <mergeCell ref="B45:C45"/>
    <mergeCell ref="B49:C49"/>
    <mergeCell ref="B46:C46"/>
    <mergeCell ref="F46:G46"/>
    <mergeCell ref="B47:C47"/>
  </mergeCells>
  <printOptions/>
  <pageMargins left="0" right="0" top="0" bottom="0" header="0.31496062992125984" footer="0.31496062992125984"/>
  <pageSetup horizontalDpi="600" verticalDpi="600" orientation="portrait" paperSize="9" scale="97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7030A0"/>
  </sheetPr>
  <dimension ref="A1:N46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635</v>
      </c>
      <c r="H7" s="64"/>
    </row>
    <row r="8" spans="1:8" s="63" customFormat="1" ht="12.75">
      <c r="A8" s="63" t="s">
        <v>3</v>
      </c>
      <c r="F8" s="64" t="s">
        <v>636</v>
      </c>
      <c r="H8" s="299">
        <v>178.4</v>
      </c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667</v>
      </c>
      <c r="B12" s="320"/>
      <c r="C12" s="320"/>
      <c r="D12" s="51">
        <v>0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668</v>
      </c>
      <c r="B14" s="68"/>
      <c r="C14" s="68"/>
      <c r="D14" s="73"/>
      <c r="E14" s="74"/>
      <c r="F14" s="74"/>
      <c r="G14" s="69">
        <v>0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9.969999999999999</v>
      </c>
      <c r="D17" s="80">
        <v>77663.44</v>
      </c>
      <c r="E17" s="80">
        <v>60838.12</v>
      </c>
      <c r="F17" s="80">
        <f aca="true" t="shared" si="0" ref="F17:F23">D17</f>
        <v>77663.44</v>
      </c>
      <c r="G17" s="81">
        <f>E17-D17</f>
        <v>-16825.32</v>
      </c>
      <c r="H17" s="82">
        <f>C17</f>
        <v>9.969999999999999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26017.641885656973</v>
      </c>
      <c r="E18" s="87">
        <f>E17*I18</f>
        <v>20381.075305917755</v>
      </c>
      <c r="F18" s="87">
        <f t="shared" si="0"/>
        <v>26017.641885656973</v>
      </c>
      <c r="G18" s="88">
        <f aca="true" t="shared" si="1" ref="G18:G26">E18-D18</f>
        <v>-5636.566579739218</v>
      </c>
      <c r="H18" s="82">
        <f>C18</f>
        <v>3.34</v>
      </c>
      <c r="I18" s="63">
        <f>H18/H17</f>
        <v>0.3350050150451354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12697.232417251756</v>
      </c>
      <c r="E19" s="87">
        <f>E17*I19</f>
        <v>9946.452918756271</v>
      </c>
      <c r="F19" s="87">
        <f t="shared" si="0"/>
        <v>12697.232417251756</v>
      </c>
      <c r="G19" s="88">
        <f t="shared" si="1"/>
        <v>-2750.7794984954853</v>
      </c>
      <c r="H19" s="82">
        <f>C19</f>
        <v>1.63</v>
      </c>
      <c r="I19" s="63">
        <f>H19/H17</f>
        <v>0.16349047141424275</v>
      </c>
    </row>
    <row r="20" spans="1:9" s="63" customFormat="1" ht="15">
      <c r="A20" s="85" t="s">
        <v>20</v>
      </c>
      <c r="B20" s="34" t="s">
        <v>21</v>
      </c>
      <c r="C20" s="86">
        <v>2.07</v>
      </c>
      <c r="D20" s="87">
        <f>D17*I20</f>
        <v>16124.70619859579</v>
      </c>
      <c r="E20" s="87">
        <f>E17*I20</f>
        <v>12631.384994984955</v>
      </c>
      <c r="F20" s="87">
        <f t="shared" si="0"/>
        <v>16124.70619859579</v>
      </c>
      <c r="G20" s="88">
        <f t="shared" si="1"/>
        <v>-3493.3212036108343</v>
      </c>
      <c r="H20" s="82">
        <f>C20</f>
        <v>2.07</v>
      </c>
      <c r="I20" s="63">
        <f>H20/H17</f>
        <v>0.20762286860581747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22823.85949849549</v>
      </c>
      <c r="E21" s="87">
        <f>E17*I21</f>
        <v>17879.206780341025</v>
      </c>
      <c r="F21" s="87">
        <f t="shared" si="0"/>
        <v>22823.85949849549</v>
      </c>
      <c r="G21" s="88">
        <f t="shared" si="1"/>
        <v>-4944.652718154466</v>
      </c>
      <c r="H21" s="82">
        <f>C21</f>
        <v>2.93</v>
      </c>
      <c r="I21" s="63">
        <f>H21/H17</f>
        <v>0.29388164493480445</v>
      </c>
    </row>
    <row r="22" spans="1:11" s="93" customFormat="1" ht="14.25">
      <c r="A22" s="90" t="s">
        <v>25</v>
      </c>
      <c r="B22" s="90" t="s">
        <v>252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637</v>
      </c>
      <c r="C23" s="46">
        <v>2.2</v>
      </c>
      <c r="D23" s="91">
        <v>16680.62</v>
      </c>
      <c r="E23" s="91">
        <v>13422.62</v>
      </c>
      <c r="F23" s="91">
        <f t="shared" si="0"/>
        <v>16680.62</v>
      </c>
      <c r="G23" s="91">
        <f t="shared" si="1"/>
        <v>-3257.999999999998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26</v>
      </c>
      <c r="C24" s="46">
        <v>3.72</v>
      </c>
      <c r="D24" s="91">
        <v>28205.38</v>
      </c>
      <c r="E24" s="91">
        <v>22696.42</v>
      </c>
      <c r="F24" s="91">
        <v>0</v>
      </c>
      <c r="G24" s="91">
        <f t="shared" si="1"/>
        <v>-5508.960000000003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v>15088.41</v>
      </c>
      <c r="E25" s="91">
        <v>12141.38</v>
      </c>
      <c r="F25" s="91">
        <f>F39</f>
        <v>121.4138</v>
      </c>
      <c r="G25" s="91">
        <f>E25-D25</f>
        <v>-2947.0300000000007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 t="s">
        <v>314</v>
      </c>
      <c r="D26" s="81">
        <v>0</v>
      </c>
      <c r="E26" s="81">
        <v>0</v>
      </c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463715.5</v>
      </c>
      <c r="E27" s="81">
        <f>SUM(E28:E31)</f>
        <v>367863.11</v>
      </c>
      <c r="F27" s="81">
        <f>SUM(F28:F31)</f>
        <v>463715.5</v>
      </c>
      <c r="G27" s="81">
        <f>SUM(G28:G31)</f>
        <v>-95852.39</v>
      </c>
      <c r="H27" s="102"/>
      <c r="I27" s="102"/>
      <c r="J27" s="102"/>
      <c r="K27" s="102"/>
    </row>
    <row r="28" spans="1:7" ht="15">
      <c r="A28" s="34" t="s">
        <v>37</v>
      </c>
      <c r="B28" s="34" t="s">
        <v>422</v>
      </c>
      <c r="C28" s="103">
        <v>5.06</v>
      </c>
      <c r="D28" s="88">
        <v>114567.12</v>
      </c>
      <c r="E28" s="88">
        <v>89319.18</v>
      </c>
      <c r="F28" s="88">
        <f>D28</f>
        <v>114567.12</v>
      </c>
      <c r="G28" s="88">
        <f>E28-D28</f>
        <v>-25247.940000000002</v>
      </c>
    </row>
    <row r="29" spans="1:7" ht="15">
      <c r="A29" s="34" t="s">
        <v>39</v>
      </c>
      <c r="B29" s="34" t="s">
        <v>142</v>
      </c>
      <c r="C29" s="103">
        <v>49.53</v>
      </c>
      <c r="D29" s="88">
        <v>39360.12</v>
      </c>
      <c r="E29" s="88">
        <v>32045.81</v>
      </c>
      <c r="F29" s="88">
        <f>D29</f>
        <v>39360.12</v>
      </c>
      <c r="G29" s="88">
        <f>E29-D29</f>
        <v>-7314.310000000001</v>
      </c>
    </row>
    <row r="30" spans="1:7" ht="15">
      <c r="A30" s="34" t="s">
        <v>42</v>
      </c>
      <c r="B30" s="55" t="s">
        <v>143</v>
      </c>
      <c r="C30" s="149">
        <v>185.59</v>
      </c>
      <c r="D30" s="88">
        <v>65162.35</v>
      </c>
      <c r="E30" s="88">
        <v>50652.95</v>
      </c>
      <c r="F30" s="88">
        <f>D30</f>
        <v>65162.35</v>
      </c>
      <c r="G30" s="88">
        <f>E30-D30</f>
        <v>-14509.400000000001</v>
      </c>
    </row>
    <row r="31" spans="1:7" s="298" customFormat="1" ht="15">
      <c r="A31" s="292" t="s">
        <v>41</v>
      </c>
      <c r="B31" s="292" t="s">
        <v>43</v>
      </c>
      <c r="C31" s="149">
        <v>2180.39</v>
      </c>
      <c r="D31" s="226">
        <v>244625.91</v>
      </c>
      <c r="E31" s="226">
        <v>195845.17</v>
      </c>
      <c r="F31" s="226">
        <f>D31</f>
        <v>244625.91</v>
      </c>
      <c r="G31" s="226">
        <f>E31-D31</f>
        <v>-48780.73999999999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124391.70000000001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12019.966199999999</v>
      </c>
      <c r="H35" s="66"/>
      <c r="I35" s="66"/>
    </row>
    <row r="36" spans="1:11" ht="31.5" customHeight="1">
      <c r="A36" s="443" t="s">
        <v>196</v>
      </c>
      <c r="B36" s="444"/>
      <c r="C36" s="444"/>
      <c r="D36" s="444"/>
      <c r="E36" s="444"/>
      <c r="F36" s="444"/>
      <c r="G36" s="444"/>
      <c r="H36" s="62"/>
      <c r="I36" s="62"/>
      <c r="J36" s="62"/>
      <c r="K36" s="62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SUM(F40:G40)</f>
        <v>121.4138</v>
      </c>
      <c r="G39" s="351"/>
      <c r="H39" s="270"/>
      <c r="I39" s="271"/>
      <c r="L39" s="120"/>
    </row>
    <row r="40" spans="1:11" s="71" customFormat="1" ht="15">
      <c r="A40" s="34" t="s">
        <v>16</v>
      </c>
      <c r="B40" s="364" t="s">
        <v>207</v>
      </c>
      <c r="C40" s="365"/>
      <c r="D40" s="129"/>
      <c r="E40" s="129"/>
      <c r="F40" s="355">
        <f>E25*1%</f>
        <v>121.4138</v>
      </c>
      <c r="G40" s="355"/>
      <c r="H40" s="63"/>
      <c r="I40" s="63"/>
      <c r="J40" s="63"/>
      <c r="K40" s="63"/>
    </row>
    <row r="41" s="63" customFormat="1" ht="9" customHeight="1"/>
    <row r="42" spans="1:11" s="63" customFormat="1" ht="15">
      <c r="A42" s="71" t="s">
        <v>55</v>
      </c>
      <c r="B42" s="71"/>
      <c r="C42" s="131" t="s">
        <v>49</v>
      </c>
      <c r="D42" s="71"/>
      <c r="E42" s="71"/>
      <c r="F42" s="71" t="s">
        <v>93</v>
      </c>
      <c r="G42" s="71"/>
      <c r="H42" s="71"/>
      <c r="I42" s="71"/>
      <c r="J42" s="71"/>
      <c r="K42" s="71"/>
    </row>
    <row r="43" spans="1:7" s="63" customFormat="1" ht="15">
      <c r="A43" s="71"/>
      <c r="B43" s="71"/>
      <c r="C43" s="131"/>
      <c r="D43" s="71"/>
      <c r="E43" s="71"/>
      <c r="F43" s="132" t="s">
        <v>296</v>
      </c>
      <c r="G43" s="71"/>
    </row>
    <row r="44" spans="1:10" s="63" customFormat="1" ht="15">
      <c r="A44" s="71" t="s">
        <v>50</v>
      </c>
      <c r="B44" s="71"/>
      <c r="C44" s="131"/>
      <c r="D44" s="71"/>
      <c r="E44" s="71"/>
      <c r="F44" s="71"/>
      <c r="G44" s="71"/>
      <c r="H44" s="164"/>
      <c r="I44" s="164"/>
      <c r="J44" s="164"/>
    </row>
    <row r="45" spans="1:11" ht="15">
      <c r="A45" s="71"/>
      <c r="B45" s="71"/>
      <c r="C45" s="133" t="s">
        <v>51</v>
      </c>
      <c r="D45" s="71"/>
      <c r="E45" s="134"/>
      <c r="F45" s="134"/>
      <c r="G45" s="134"/>
      <c r="H45" s="63"/>
      <c r="I45" s="63"/>
      <c r="J45" s="63"/>
      <c r="K45" s="63"/>
    </row>
    <row r="46" spans="1:11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</row>
  </sheetData>
  <sheetProtection/>
  <mergeCells count="16">
    <mergeCell ref="A1:K1"/>
    <mergeCell ref="A2:K2"/>
    <mergeCell ref="A3:K3"/>
    <mergeCell ref="A5:K5"/>
    <mergeCell ref="A9:K9"/>
    <mergeCell ref="A10:K10"/>
    <mergeCell ref="B40:C40"/>
    <mergeCell ref="F40:G40"/>
    <mergeCell ref="B39:C39"/>
    <mergeCell ref="F39:G39"/>
    <mergeCell ref="A11:K11"/>
    <mergeCell ref="A12:C12"/>
    <mergeCell ref="A33:C33"/>
    <mergeCell ref="A36:G36"/>
    <mergeCell ref="B38:C38"/>
    <mergeCell ref="F38:G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23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431</v>
      </c>
      <c r="H7" s="64"/>
    </row>
    <row r="8" spans="1:8" s="63" customFormat="1" ht="12.75">
      <c r="A8" s="63" t="s">
        <v>3</v>
      </c>
      <c r="F8" s="64" t="s">
        <v>432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665</v>
      </c>
      <c r="B12" s="320"/>
      <c r="C12" s="320"/>
      <c r="D12" s="51">
        <v>0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666</v>
      </c>
      <c r="B14" s="68"/>
      <c r="C14" s="68"/>
      <c r="D14" s="73"/>
      <c r="E14" s="74"/>
      <c r="F14" s="74"/>
      <c r="G14" s="69">
        <v>0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9.969999999999999</v>
      </c>
      <c r="D17" s="80">
        <v>62936.95</v>
      </c>
      <c r="E17" s="80">
        <v>52695.45</v>
      </c>
      <c r="F17" s="80">
        <f aca="true" t="shared" si="0" ref="F17:F23">D17</f>
        <v>62936.95</v>
      </c>
      <c r="G17" s="81">
        <f>E17-D17</f>
        <v>-10241.5</v>
      </c>
      <c r="H17" s="82">
        <f>C17</f>
        <v>9.969999999999999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21084.193881644933</v>
      </c>
      <c r="E18" s="87">
        <f>E17*I18</f>
        <v>17653.24002006018</v>
      </c>
      <c r="F18" s="87">
        <f t="shared" si="0"/>
        <v>21084.193881644933</v>
      </c>
      <c r="G18" s="88">
        <f aca="true" t="shared" si="1" ref="G18:G26">E18-D18</f>
        <v>-3430.9538615847523</v>
      </c>
      <c r="H18" s="82">
        <f>C18</f>
        <v>3.34</v>
      </c>
      <c r="I18" s="63">
        <f>H18/H17</f>
        <v>0.3350050150451354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10289.591624874625</v>
      </c>
      <c r="E19" s="87">
        <f>E17*I19</f>
        <v>8615.203961885658</v>
      </c>
      <c r="F19" s="87">
        <f t="shared" si="0"/>
        <v>10289.591624874625</v>
      </c>
      <c r="G19" s="88">
        <f t="shared" si="1"/>
        <v>-1674.3876629889673</v>
      </c>
      <c r="H19" s="82">
        <f>C19</f>
        <v>1.63</v>
      </c>
      <c r="I19" s="63">
        <f>H19/H17</f>
        <v>0.16349047141424275</v>
      </c>
    </row>
    <row r="20" spans="1:9" s="63" customFormat="1" ht="15">
      <c r="A20" s="85" t="s">
        <v>20</v>
      </c>
      <c r="B20" s="34" t="s">
        <v>21</v>
      </c>
      <c r="C20" s="86">
        <v>2.07</v>
      </c>
      <c r="D20" s="87">
        <f>D17*I20</f>
        <v>13067.150100300903</v>
      </c>
      <c r="E20" s="87">
        <f>E17*I20</f>
        <v>10940.780491474423</v>
      </c>
      <c r="F20" s="87">
        <f t="shared" si="0"/>
        <v>13067.150100300903</v>
      </c>
      <c r="G20" s="88">
        <f t="shared" si="1"/>
        <v>-2126.3696088264805</v>
      </c>
      <c r="H20" s="82">
        <f>C20</f>
        <v>2.07</v>
      </c>
      <c r="I20" s="63">
        <f>H20/H17</f>
        <v>0.20762286860581747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18496.01439317954</v>
      </c>
      <c r="E21" s="87">
        <f>E17*I21</f>
        <v>15486.225526579741</v>
      </c>
      <c r="F21" s="87">
        <f t="shared" si="0"/>
        <v>18496.01439317954</v>
      </c>
      <c r="G21" s="88">
        <f t="shared" si="1"/>
        <v>-3009.788866599798</v>
      </c>
      <c r="H21" s="82">
        <f>C21</f>
        <v>2.93</v>
      </c>
      <c r="I21" s="63">
        <f>H21/H17</f>
        <v>0.29388164493480445</v>
      </c>
    </row>
    <row r="22" spans="1:11" s="93" customFormat="1" ht="14.25">
      <c r="A22" s="90" t="s">
        <v>25</v>
      </c>
      <c r="B22" s="90" t="s">
        <v>252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231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26</v>
      </c>
      <c r="C24" s="46">
        <v>0</v>
      </c>
      <c r="D24" s="91">
        <v>0</v>
      </c>
      <c r="E24" s="91">
        <v>0</v>
      </c>
      <c r="F24" s="91"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v>12462.4</v>
      </c>
      <c r="E25" s="91">
        <v>10497.25</v>
      </c>
      <c r="F25" s="91">
        <f>F39</f>
        <v>30604.9725</v>
      </c>
      <c r="G25" s="91">
        <f>E25-D25</f>
        <v>-1965.1499999999996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39.62</v>
      </c>
      <c r="D26" s="81">
        <v>0</v>
      </c>
      <c r="E26" s="81">
        <v>0</v>
      </c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16414.53</v>
      </c>
      <c r="E27" s="81">
        <f>SUM(E28:E31)</f>
        <v>15082.99</v>
      </c>
      <c r="F27" s="81">
        <f>SUM(F28:F31)</f>
        <v>16414.53</v>
      </c>
      <c r="G27" s="81">
        <f>SUM(G28:G31)</f>
        <v>-1331.5400000000009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>
        <v>5.06</v>
      </c>
      <c r="D28" s="88">
        <v>8796.83</v>
      </c>
      <c r="E28" s="88">
        <v>7409.69</v>
      </c>
      <c r="F28" s="88">
        <f>D28</f>
        <v>8796.83</v>
      </c>
      <c r="G28" s="88">
        <f>E28-D28</f>
        <v>-1387.1400000000003</v>
      </c>
    </row>
    <row r="29" spans="1:7" ht="15">
      <c r="A29" s="34" t="s">
        <v>39</v>
      </c>
      <c r="B29" s="34" t="s">
        <v>142</v>
      </c>
      <c r="C29" s="103">
        <v>49.53</v>
      </c>
      <c r="D29" s="88">
        <v>1087.9</v>
      </c>
      <c r="E29" s="88">
        <v>2173.15</v>
      </c>
      <c r="F29" s="88">
        <f>D29</f>
        <v>1087.9</v>
      </c>
      <c r="G29" s="88">
        <f>E29-D29</f>
        <v>1085.25</v>
      </c>
    </row>
    <row r="30" spans="1:7" ht="15">
      <c r="A30" s="34" t="s">
        <v>42</v>
      </c>
      <c r="B30" s="55" t="s">
        <v>143</v>
      </c>
      <c r="C30" s="149">
        <v>196.49</v>
      </c>
      <c r="D30" s="88">
        <v>6529.8</v>
      </c>
      <c r="E30" s="88">
        <v>5500.15</v>
      </c>
      <c r="F30" s="88">
        <f>D30</f>
        <v>6529.8</v>
      </c>
      <c r="G30" s="88">
        <f>E30-D30</f>
        <v>-1029.6500000000005</v>
      </c>
    </row>
    <row r="31" spans="1:7" s="298" customFormat="1" ht="15">
      <c r="A31" s="292" t="s">
        <v>41</v>
      </c>
      <c r="B31" s="292" t="s">
        <v>43</v>
      </c>
      <c r="C31" s="149">
        <v>0</v>
      </c>
      <c r="D31" s="226">
        <v>0</v>
      </c>
      <c r="E31" s="226">
        <v>0</v>
      </c>
      <c r="F31" s="226">
        <f>D31</f>
        <v>0</v>
      </c>
      <c r="G31" s="226">
        <f>E31-D31</f>
        <v>0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13538.189999999993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-20107.7225</v>
      </c>
      <c r="H35" s="66"/>
      <c r="I35" s="66"/>
    </row>
    <row r="36" spans="1:11" ht="31.5" customHeight="1">
      <c r="A36" s="443" t="s">
        <v>196</v>
      </c>
      <c r="B36" s="444"/>
      <c r="C36" s="444"/>
      <c r="D36" s="444"/>
      <c r="E36" s="444"/>
      <c r="F36" s="444"/>
      <c r="G36" s="444"/>
      <c r="H36" s="62"/>
      <c r="I36" s="62"/>
      <c r="J36" s="62"/>
      <c r="K36" s="62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SUM(F40:G43)</f>
        <v>30604.9725</v>
      </c>
      <c r="G39" s="351"/>
      <c r="H39" s="270"/>
      <c r="I39" s="271"/>
      <c r="L39" s="120"/>
    </row>
    <row r="40" spans="1:12" ht="15">
      <c r="A40" s="34" t="s">
        <v>16</v>
      </c>
      <c r="B40" s="325" t="s">
        <v>175</v>
      </c>
      <c r="C40" s="327"/>
      <c r="D40" s="123" t="s">
        <v>176</v>
      </c>
      <c r="E40" s="123">
        <v>4</v>
      </c>
      <c r="F40" s="388">
        <v>5200</v>
      </c>
      <c r="G40" s="389"/>
      <c r="H40" s="272"/>
      <c r="I40" s="273"/>
      <c r="L40" s="124"/>
    </row>
    <row r="41" spans="1:12" ht="15">
      <c r="A41" s="34" t="s">
        <v>18</v>
      </c>
      <c r="B41" s="325" t="s">
        <v>178</v>
      </c>
      <c r="C41" s="327"/>
      <c r="D41" s="123"/>
      <c r="E41" s="123"/>
      <c r="F41" s="388">
        <v>23400</v>
      </c>
      <c r="G41" s="389"/>
      <c r="H41" s="40"/>
      <c r="I41" s="40"/>
      <c r="L41" s="124"/>
    </row>
    <row r="42" spans="1:12" ht="15">
      <c r="A42" s="34" t="s">
        <v>20</v>
      </c>
      <c r="B42" s="325" t="s">
        <v>272</v>
      </c>
      <c r="C42" s="327"/>
      <c r="D42" s="123"/>
      <c r="E42" s="123"/>
      <c r="F42" s="366">
        <v>1900</v>
      </c>
      <c r="G42" s="367"/>
      <c r="H42" s="40"/>
      <c r="I42" s="40"/>
      <c r="L42" s="124"/>
    </row>
    <row r="43" spans="1:11" s="71" customFormat="1" ht="15">
      <c r="A43" s="34" t="s">
        <v>22</v>
      </c>
      <c r="B43" s="364" t="s">
        <v>207</v>
      </c>
      <c r="C43" s="365"/>
      <c r="D43" s="129"/>
      <c r="E43" s="129"/>
      <c r="F43" s="355">
        <f>E25*1%</f>
        <v>104.9725</v>
      </c>
      <c r="G43" s="355"/>
      <c r="H43" s="63"/>
      <c r="I43" s="63"/>
      <c r="J43" s="63"/>
      <c r="K43" s="63"/>
    </row>
    <row r="44" s="63" customFormat="1" ht="9" customHeight="1"/>
    <row r="45" spans="1:11" s="63" customFormat="1" ht="15">
      <c r="A45" s="71" t="s">
        <v>55</v>
      </c>
      <c r="B45" s="71"/>
      <c r="C45" s="131" t="s">
        <v>49</v>
      </c>
      <c r="D45" s="71"/>
      <c r="E45" s="71"/>
      <c r="F45" s="71" t="s">
        <v>93</v>
      </c>
      <c r="G45" s="71"/>
      <c r="H45" s="71"/>
      <c r="I45" s="71"/>
      <c r="J45" s="71"/>
      <c r="K45" s="71"/>
    </row>
    <row r="46" spans="1:7" s="63" customFormat="1" ht="15">
      <c r="A46" s="71"/>
      <c r="B46" s="71"/>
      <c r="C46" s="131"/>
      <c r="D46" s="71"/>
      <c r="E46" s="71"/>
      <c r="F46" s="132" t="s">
        <v>296</v>
      </c>
      <c r="G46" s="71"/>
    </row>
    <row r="47" spans="1:10" s="63" customFormat="1" ht="15">
      <c r="A47" s="71" t="s">
        <v>50</v>
      </c>
      <c r="B47" s="71"/>
      <c r="C47" s="131"/>
      <c r="D47" s="71"/>
      <c r="E47" s="71"/>
      <c r="F47" s="71"/>
      <c r="G47" s="71"/>
      <c r="H47" s="164"/>
      <c r="I47" s="164"/>
      <c r="J47" s="164"/>
    </row>
    <row r="48" spans="1:11" ht="15">
      <c r="A48" s="71"/>
      <c r="B48" s="71"/>
      <c r="C48" s="133" t="s">
        <v>51</v>
      </c>
      <c r="D48" s="71"/>
      <c r="E48" s="134"/>
      <c r="F48" s="134"/>
      <c r="G48" s="134"/>
      <c r="H48" s="63"/>
      <c r="I48" s="63"/>
      <c r="J48" s="63"/>
      <c r="K48" s="63"/>
    </row>
    <row r="49" spans="1:11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</sheetData>
  <sheetProtection/>
  <mergeCells count="22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B38:C38"/>
    <mergeCell ref="F38:G38"/>
    <mergeCell ref="A36:G36"/>
    <mergeCell ref="B43:C43"/>
    <mergeCell ref="F43:G43"/>
    <mergeCell ref="B39:C39"/>
    <mergeCell ref="F39:G39"/>
    <mergeCell ref="B40:C40"/>
    <mergeCell ref="F40:G40"/>
    <mergeCell ref="B42:C42"/>
    <mergeCell ref="F42:G42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7"/>
  <sheetViews>
    <sheetView zoomScalePageLayoutView="0" workbookViewId="0" topLeftCell="A32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258</v>
      </c>
      <c r="H7" s="64" t="s">
        <v>581</v>
      </c>
    </row>
    <row r="8" spans="1:9" s="63" customFormat="1" ht="12.75">
      <c r="A8" s="63" t="s">
        <v>3</v>
      </c>
      <c r="F8" s="64" t="s">
        <v>580</v>
      </c>
      <c r="H8" s="299">
        <v>49.8</v>
      </c>
      <c r="I8" s="65">
        <f>3582.4+49.8</f>
        <v>3632.2000000000003</v>
      </c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249738.12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'[1]Калинина 15'!$G$35</f>
        <v>-13970.360700000001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9.82</v>
      </c>
      <c r="D17" s="80">
        <v>426747.29</v>
      </c>
      <c r="E17" s="80">
        <v>373549.28</v>
      </c>
      <c r="F17" s="80">
        <f>D17</f>
        <v>426747.29</v>
      </c>
      <c r="G17" s="81">
        <f>E17-D17</f>
        <v>-53198.00999999995</v>
      </c>
      <c r="H17" s="82">
        <f>C17</f>
        <v>9.82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145146.22694501016</v>
      </c>
      <c r="E18" s="87">
        <f>E17*I18</f>
        <v>127052.40276985744</v>
      </c>
      <c r="F18" s="87">
        <f>D18</f>
        <v>145146.22694501016</v>
      </c>
      <c r="G18" s="88">
        <f aca="true" t="shared" si="0" ref="G18:G26">E18-D18</f>
        <v>-18093.824175152724</v>
      </c>
      <c r="H18" s="82">
        <f>C18</f>
        <v>3.34</v>
      </c>
      <c r="I18" s="63">
        <f>H18/H17</f>
        <v>0.340122199592668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70834.83530549897</v>
      </c>
      <c r="E19" s="87">
        <f>E17*I19</f>
        <v>62004.61572301425</v>
      </c>
      <c r="F19" s="87">
        <f>D19</f>
        <v>70834.83530549897</v>
      </c>
      <c r="G19" s="88">
        <f t="shared" si="0"/>
        <v>-8830.219582484722</v>
      </c>
      <c r="H19" s="82">
        <f>C19</f>
        <v>1.63</v>
      </c>
      <c r="I19" s="63">
        <f>H19/H17</f>
        <v>0.16598778004073317</v>
      </c>
    </row>
    <row r="20" spans="1:9" s="63" customFormat="1" ht="15">
      <c r="A20" s="85" t="s">
        <v>20</v>
      </c>
      <c r="B20" s="34" t="s">
        <v>21</v>
      </c>
      <c r="C20" s="86">
        <v>1.92</v>
      </c>
      <c r="D20" s="87">
        <f>D17*I20</f>
        <v>83437.35201629327</v>
      </c>
      <c r="E20" s="87">
        <f>E17*I20</f>
        <v>73036.1117718941</v>
      </c>
      <c r="F20" s="87">
        <f>D20</f>
        <v>83437.35201629327</v>
      </c>
      <c r="G20" s="88">
        <f t="shared" si="0"/>
        <v>-10401.240244399174</v>
      </c>
      <c r="H20" s="82">
        <f>C20</f>
        <v>1.92</v>
      </c>
      <c r="I20" s="63">
        <f>H20/H17</f>
        <v>0.1955193482688391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127328.87573319756</v>
      </c>
      <c r="E21" s="87">
        <f>E17*I21</f>
        <v>111456.14973523423</v>
      </c>
      <c r="F21" s="87">
        <f>D21</f>
        <v>127328.87573319756</v>
      </c>
      <c r="G21" s="88">
        <f t="shared" si="0"/>
        <v>-15872.725997963338</v>
      </c>
      <c r="H21" s="82">
        <f>C21</f>
        <v>2.93</v>
      </c>
      <c r="I21" s="63">
        <f>H21/H17</f>
        <v>0.2983706720977597</v>
      </c>
    </row>
    <row r="22" spans="1:11" s="93" customFormat="1" ht="14.25">
      <c r="A22" s="90" t="s">
        <v>25</v>
      </c>
      <c r="B22" s="90" t="s">
        <v>252</v>
      </c>
      <c r="C22" s="46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582</v>
      </c>
      <c r="C23" s="46">
        <v>87</v>
      </c>
      <c r="D23" s="91">
        <v>82824</v>
      </c>
      <c r="E23" s="91">
        <v>68595.34</v>
      </c>
      <c r="F23" s="91">
        <f>F49</f>
        <v>155000</v>
      </c>
      <c r="G23" s="91">
        <f t="shared" si="0"/>
        <v>-14228.660000000003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26</v>
      </c>
      <c r="C24" s="46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3.3</v>
      </c>
      <c r="D25" s="91">
        <v>141863.76</v>
      </c>
      <c r="E25" s="91">
        <v>125321.39</v>
      </c>
      <c r="F25" s="91">
        <f>F39-F23</f>
        <v>84526.9539</v>
      </c>
      <c r="G25" s="91">
        <f>E25-D25</f>
        <v>-16542.37000000001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39.62</v>
      </c>
      <c r="D26" s="81">
        <v>0</v>
      </c>
      <c r="E26" s="81">
        <v>0</v>
      </c>
      <c r="F26" s="91">
        <f>D26</f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834494.76</v>
      </c>
      <c r="E27" s="81">
        <f>SUM(E28:E31)</f>
        <v>751344.34</v>
      </c>
      <c r="F27" s="81">
        <f>SUM(F28:F31)</f>
        <v>834494.76</v>
      </c>
      <c r="G27" s="81">
        <f>SUM(G28:G31)</f>
        <v>-83150.42000000001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323</v>
      </c>
      <c r="D28" s="88">
        <v>21928.03</v>
      </c>
      <c r="E28" s="88">
        <v>19118.51</v>
      </c>
      <c r="F28" s="88">
        <f>D28</f>
        <v>21928.03</v>
      </c>
      <c r="G28" s="88">
        <f>E28-D28</f>
        <v>-2809.5200000000004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797843.52</v>
      </c>
      <c r="E29" s="88">
        <v>719243.14</v>
      </c>
      <c r="F29" s="88">
        <f>D29</f>
        <v>797843.52</v>
      </c>
      <c r="G29" s="88">
        <f>E29-D29</f>
        <v>-78600.38</v>
      </c>
    </row>
    <row r="30" spans="1:7" ht="15">
      <c r="A30" s="34" t="s">
        <v>42</v>
      </c>
      <c r="B30" s="55" t="s">
        <v>143</v>
      </c>
      <c r="C30" s="149">
        <v>168.44</v>
      </c>
      <c r="D30" s="88">
        <v>14723.21</v>
      </c>
      <c r="E30" s="88">
        <v>12982.69</v>
      </c>
      <c r="F30" s="88">
        <f>D30</f>
        <v>14723.21</v>
      </c>
      <c r="G30" s="88">
        <f>E30-D30</f>
        <v>-1740.5199999999986</v>
      </c>
    </row>
    <row r="31" spans="1:7" s="298" customFormat="1" ht="15">
      <c r="A31" s="292" t="s">
        <v>41</v>
      </c>
      <c r="B31" s="292" t="s">
        <v>43</v>
      </c>
      <c r="C31" s="149">
        <v>0</v>
      </c>
      <c r="D31" s="226">
        <v>0</v>
      </c>
      <c r="E31" s="226">
        <v>0</v>
      </c>
      <c r="F31" s="226">
        <f>D31</f>
        <v>0</v>
      </c>
      <c r="G31" s="226">
        <f>E31-D31</f>
        <v>0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416857.57999999996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26824.0754</v>
      </c>
      <c r="H35" s="66"/>
      <c r="I35" s="66"/>
    </row>
    <row r="36" spans="1:11" ht="31.5" customHeight="1">
      <c r="A36" s="443" t="s">
        <v>196</v>
      </c>
      <c r="B36" s="444"/>
      <c r="C36" s="444"/>
      <c r="D36" s="444"/>
      <c r="E36" s="444"/>
      <c r="F36" s="444"/>
      <c r="G36" s="444"/>
      <c r="H36" s="62"/>
      <c r="I36" s="62"/>
      <c r="J36" s="62"/>
      <c r="K36" s="62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SUM(F40:G51)</f>
        <v>239526.9539</v>
      </c>
      <c r="G39" s="351"/>
      <c r="H39" s="270"/>
      <c r="I39" s="271"/>
      <c r="L39" s="120"/>
    </row>
    <row r="40" spans="1:12" ht="15">
      <c r="A40" s="34" t="s">
        <v>16</v>
      </c>
      <c r="B40" s="325" t="s">
        <v>316</v>
      </c>
      <c r="C40" s="327"/>
      <c r="D40" s="123" t="s">
        <v>259</v>
      </c>
      <c r="E40" s="123">
        <v>0.01</v>
      </c>
      <c r="F40" s="388">
        <v>1031.74</v>
      </c>
      <c r="G40" s="389"/>
      <c r="H40" s="272"/>
      <c r="I40" s="273"/>
      <c r="L40" s="124"/>
    </row>
    <row r="41" spans="1:12" ht="26.25">
      <c r="A41" s="34" t="s">
        <v>18</v>
      </c>
      <c r="B41" s="325" t="s">
        <v>263</v>
      </c>
      <c r="C41" s="327"/>
      <c r="D41" s="123"/>
      <c r="E41" s="123" t="s">
        <v>317</v>
      </c>
      <c r="F41" s="366">
        <v>2920</v>
      </c>
      <c r="G41" s="367"/>
      <c r="H41" s="40"/>
      <c r="I41" s="40"/>
      <c r="L41" s="124"/>
    </row>
    <row r="42" spans="1:12" ht="26.25">
      <c r="A42" s="34" t="s">
        <v>20</v>
      </c>
      <c r="B42" s="325" t="s">
        <v>318</v>
      </c>
      <c r="C42" s="327"/>
      <c r="D42" s="123"/>
      <c r="E42" s="130" t="s">
        <v>317</v>
      </c>
      <c r="F42" s="366">
        <v>1352</v>
      </c>
      <c r="G42" s="367"/>
      <c r="H42" s="40"/>
      <c r="I42" s="40"/>
      <c r="L42" s="124"/>
    </row>
    <row r="43" spans="1:12" ht="15">
      <c r="A43" s="34" t="s">
        <v>22</v>
      </c>
      <c r="B43" s="325" t="s">
        <v>263</v>
      </c>
      <c r="C43" s="327"/>
      <c r="D43" s="123"/>
      <c r="E43" s="123" t="s">
        <v>308</v>
      </c>
      <c r="F43" s="366">
        <v>650</v>
      </c>
      <c r="G43" s="367"/>
      <c r="H43" s="40"/>
      <c r="I43" s="40"/>
      <c r="L43" s="124"/>
    </row>
    <row r="44" spans="1:12" ht="26.25">
      <c r="A44" s="34" t="s">
        <v>24</v>
      </c>
      <c r="B44" s="325" t="s">
        <v>319</v>
      </c>
      <c r="C44" s="327"/>
      <c r="D44" s="123"/>
      <c r="E44" s="130" t="s">
        <v>317</v>
      </c>
      <c r="F44" s="366">
        <v>468</v>
      </c>
      <c r="G44" s="367"/>
      <c r="H44" s="40"/>
      <c r="I44" s="40"/>
      <c r="L44" s="124"/>
    </row>
    <row r="45" spans="1:12" ht="35.25" customHeight="1">
      <c r="A45" s="34" t="s">
        <v>106</v>
      </c>
      <c r="B45" s="331" t="s">
        <v>312</v>
      </c>
      <c r="C45" s="346"/>
      <c r="D45" s="123" t="s">
        <v>173</v>
      </c>
      <c r="E45" s="123">
        <v>1</v>
      </c>
      <c r="F45" s="366">
        <v>10000</v>
      </c>
      <c r="G45" s="367"/>
      <c r="H45" s="40"/>
      <c r="I45" s="40"/>
      <c r="L45" s="124"/>
    </row>
    <row r="46" spans="1:12" ht="15">
      <c r="A46" s="34" t="s">
        <v>107</v>
      </c>
      <c r="B46" s="325" t="s">
        <v>320</v>
      </c>
      <c r="C46" s="327"/>
      <c r="D46" s="123" t="s">
        <v>266</v>
      </c>
      <c r="E46" s="212">
        <v>0.0057</v>
      </c>
      <c r="F46" s="366">
        <v>1852</v>
      </c>
      <c r="G46" s="367"/>
      <c r="H46" s="40"/>
      <c r="I46" s="40"/>
      <c r="L46" s="124"/>
    </row>
    <row r="47" spans="1:12" ht="15">
      <c r="A47" s="34" t="s">
        <v>120</v>
      </c>
      <c r="B47" s="325" t="s">
        <v>321</v>
      </c>
      <c r="C47" s="327"/>
      <c r="D47" s="123" t="s">
        <v>173</v>
      </c>
      <c r="E47" s="123">
        <v>1</v>
      </c>
      <c r="F47" s="366">
        <v>27500</v>
      </c>
      <c r="G47" s="367"/>
      <c r="H47" s="40"/>
      <c r="I47" s="40"/>
      <c r="L47" s="124"/>
    </row>
    <row r="48" spans="1:12" ht="24" customHeight="1">
      <c r="A48" s="34" t="s">
        <v>121</v>
      </c>
      <c r="B48" s="325" t="s">
        <v>322</v>
      </c>
      <c r="C48" s="327"/>
      <c r="D48" s="123" t="s">
        <v>173</v>
      </c>
      <c r="E48" s="123">
        <v>1</v>
      </c>
      <c r="F48" s="366">
        <v>35500</v>
      </c>
      <c r="G48" s="367"/>
      <c r="H48" s="40"/>
      <c r="I48" s="40"/>
      <c r="L48" s="124"/>
    </row>
    <row r="49" spans="1:12" ht="15">
      <c r="A49" s="301" t="s">
        <v>122</v>
      </c>
      <c r="B49" s="325" t="s">
        <v>185</v>
      </c>
      <c r="C49" s="327"/>
      <c r="D49" s="123" t="s">
        <v>173</v>
      </c>
      <c r="E49" s="123">
        <v>1</v>
      </c>
      <c r="F49" s="366">
        <v>155000</v>
      </c>
      <c r="G49" s="367"/>
      <c r="H49" s="40"/>
      <c r="I49" s="40"/>
      <c r="L49" s="124"/>
    </row>
    <row r="50" spans="1:12" ht="15">
      <c r="A50" s="34" t="s">
        <v>144</v>
      </c>
      <c r="B50" s="325" t="s">
        <v>696</v>
      </c>
      <c r="C50" s="327"/>
      <c r="D50" s="123"/>
      <c r="E50" s="123"/>
      <c r="F50" s="366">
        <v>2000</v>
      </c>
      <c r="G50" s="367"/>
      <c r="H50" s="40"/>
      <c r="I50" s="40"/>
      <c r="L50" s="124"/>
    </row>
    <row r="51" spans="1:11" s="71" customFormat="1" ht="15">
      <c r="A51" s="34" t="s">
        <v>147</v>
      </c>
      <c r="B51" s="364" t="s">
        <v>207</v>
      </c>
      <c r="C51" s="365"/>
      <c r="D51" s="129"/>
      <c r="E51" s="129"/>
      <c r="F51" s="355">
        <f>E25*1%</f>
        <v>1253.2139</v>
      </c>
      <c r="G51" s="355"/>
      <c r="H51" s="63"/>
      <c r="I51" s="63"/>
      <c r="J51" s="63"/>
      <c r="K51" s="63"/>
    </row>
    <row r="52" s="63" customFormat="1" ht="9" customHeight="1"/>
    <row r="53" spans="1:11" s="63" customFormat="1" ht="15">
      <c r="A53" s="71" t="s">
        <v>55</v>
      </c>
      <c r="B53" s="71"/>
      <c r="C53" s="131" t="s">
        <v>49</v>
      </c>
      <c r="D53" s="71"/>
      <c r="E53" s="71"/>
      <c r="F53" s="71" t="s">
        <v>93</v>
      </c>
      <c r="G53" s="71"/>
      <c r="H53" s="71"/>
      <c r="I53" s="71"/>
      <c r="J53" s="71"/>
      <c r="K53" s="71"/>
    </row>
    <row r="54" spans="1:7" s="63" customFormat="1" ht="15">
      <c r="A54" s="71"/>
      <c r="B54" s="71"/>
      <c r="C54" s="131"/>
      <c r="D54" s="71"/>
      <c r="E54" s="71"/>
      <c r="F54" s="132" t="s">
        <v>296</v>
      </c>
      <c r="G54" s="71"/>
    </row>
    <row r="55" spans="1:10" s="63" customFormat="1" ht="15">
      <c r="A55" s="71" t="s">
        <v>50</v>
      </c>
      <c r="B55" s="71"/>
      <c r="C55" s="131"/>
      <c r="D55" s="71"/>
      <c r="E55" s="71"/>
      <c r="F55" s="71"/>
      <c r="G55" s="71"/>
      <c r="H55" s="164"/>
      <c r="I55" s="164"/>
      <c r="J55" s="164"/>
    </row>
    <row r="56" spans="1:11" ht="15">
      <c r="A56" s="71"/>
      <c r="B56" s="71"/>
      <c r="C56" s="133" t="s">
        <v>51</v>
      </c>
      <c r="D56" s="71"/>
      <c r="E56" s="134"/>
      <c r="F56" s="134"/>
      <c r="G56" s="134"/>
      <c r="H56" s="63"/>
      <c r="I56" s="63"/>
      <c r="J56" s="63"/>
      <c r="K56" s="63"/>
    </row>
    <row r="57" spans="1:11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</row>
  </sheetData>
  <sheetProtection/>
  <mergeCells count="38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B38:C38"/>
    <mergeCell ref="F38:G38"/>
    <mergeCell ref="A36:G36"/>
    <mergeCell ref="B51:C51"/>
    <mergeCell ref="F51:G51"/>
    <mergeCell ref="B39:C39"/>
    <mergeCell ref="F39:G39"/>
    <mergeCell ref="B40:C40"/>
    <mergeCell ref="F40:G40"/>
    <mergeCell ref="B41:C41"/>
    <mergeCell ref="B42:C42"/>
    <mergeCell ref="B43:C43"/>
    <mergeCell ref="B50:C50"/>
    <mergeCell ref="F41:G41"/>
    <mergeCell ref="F42:G42"/>
    <mergeCell ref="F43:G43"/>
    <mergeCell ref="F50:G50"/>
    <mergeCell ref="B44:C44"/>
    <mergeCell ref="B45:C45"/>
    <mergeCell ref="B46:C46"/>
    <mergeCell ref="B47:C47"/>
    <mergeCell ref="B48:C48"/>
    <mergeCell ref="B49:C49"/>
    <mergeCell ref="F44:G44"/>
    <mergeCell ref="F45:G45"/>
    <mergeCell ref="F46:G46"/>
    <mergeCell ref="F47:G47"/>
    <mergeCell ref="F48:G48"/>
    <mergeCell ref="F49:G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"/>
  <sheetViews>
    <sheetView zoomScalePageLayoutView="0" workbookViewId="0" topLeftCell="A22">
      <selection activeCell="F45" sqref="F45:G48"/>
    </sheetView>
  </sheetViews>
  <sheetFormatPr defaultColWidth="9.140625" defaultRowHeight="15" outlineLevelCol="1"/>
  <cols>
    <col min="1" max="1" width="4.7109375" style="35" customWidth="1"/>
    <col min="2" max="2" width="49.00390625" style="35" customWidth="1"/>
    <col min="3" max="3" width="14.7109375" style="35" customWidth="1"/>
    <col min="4" max="4" width="12.57421875" style="35" customWidth="1"/>
    <col min="5" max="5" width="12.7109375" style="35" customWidth="1"/>
    <col min="6" max="6" width="12.281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6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4.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6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7.5" customHeight="1"/>
    <row r="7" spans="1:5" s="71" customFormat="1" ht="16.5" customHeight="1">
      <c r="A7" s="71" t="s">
        <v>2</v>
      </c>
      <c r="E7" s="132" t="s">
        <v>64</v>
      </c>
    </row>
    <row r="8" spans="1:5" s="71" customFormat="1" ht="15">
      <c r="A8" s="71" t="s">
        <v>3</v>
      </c>
      <c r="E8" s="132" t="s">
        <v>306</v>
      </c>
    </row>
    <row r="9" s="71" customFormat="1" ht="7.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-40451.61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'[1]Социалистическая 9'!$G$37</f>
        <v>27785.29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'[1]Социалистическая 9'!$G$38</f>
        <v>22118.7677</v>
      </c>
      <c r="H16" s="66"/>
      <c r="I16" s="66"/>
    </row>
    <row r="17" s="71" customFormat="1" ht="9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175" customFormat="1" ht="15">
      <c r="A19" s="79" t="s">
        <v>14</v>
      </c>
      <c r="B19" s="41" t="s">
        <v>15</v>
      </c>
      <c r="C19" s="141">
        <f>C20+C21+C22+C23</f>
        <v>9.53</v>
      </c>
      <c r="D19" s="80">
        <v>185961.26</v>
      </c>
      <c r="E19" s="80">
        <v>184857.42</v>
      </c>
      <c r="F19" s="80">
        <f>D19</f>
        <v>185961.26</v>
      </c>
      <c r="G19" s="81">
        <f aca="true" t="shared" si="0" ref="G19:G28">E19-D19</f>
        <v>-1103.8399999999965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65174.250619097584</v>
      </c>
      <c r="E20" s="87">
        <f>E19*I20</f>
        <v>64787.38539349423</v>
      </c>
      <c r="F20" s="87">
        <f>D20</f>
        <v>65174.250619097584</v>
      </c>
      <c r="G20" s="88">
        <f t="shared" si="0"/>
        <v>-386.8652256033529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31806.595362014694</v>
      </c>
      <c r="E21" s="87">
        <f>E19*I21</f>
        <v>31617.79586568731</v>
      </c>
      <c r="F21" s="87">
        <f>D21</f>
        <v>31806.595362014694</v>
      </c>
      <c r="G21" s="88">
        <f t="shared" si="0"/>
        <v>-188.799496327385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f>2.12-0.49</f>
        <v>1.6300000000000001</v>
      </c>
      <c r="D22" s="87">
        <f>D19*I22</f>
        <v>31806.595362014694</v>
      </c>
      <c r="E22" s="87">
        <f>E19*I22</f>
        <v>31617.79586568731</v>
      </c>
      <c r="F22" s="87">
        <f>D22</f>
        <v>31806.595362014694</v>
      </c>
      <c r="G22" s="88">
        <f t="shared" si="0"/>
        <v>-188.799496327385</v>
      </c>
      <c r="H22" s="152">
        <f>C22</f>
        <v>1.6300000000000001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57173.818656873045</v>
      </c>
      <c r="E23" s="87">
        <f>E19*I23</f>
        <v>56834.44287513118</v>
      </c>
      <c r="F23" s="87">
        <f>D23</f>
        <v>57173.818656873045</v>
      </c>
      <c r="G23" s="88">
        <f t="shared" si="0"/>
        <v>-339.3757817418664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26</v>
      </c>
      <c r="C24" s="101">
        <v>0</v>
      </c>
      <c r="D24" s="81">
        <v>0</v>
      </c>
      <c r="E24" s="81">
        <v>0</v>
      </c>
      <c r="F24" s="80">
        <f aca="true" t="shared" si="1" ref="F24:F33">D24</f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170</v>
      </c>
      <c r="C26" s="147">
        <v>39.62</v>
      </c>
      <c r="D26" s="81">
        <v>0</v>
      </c>
      <c r="E26" s="81">
        <v>0</v>
      </c>
      <c r="F26" s="80">
        <f t="shared" si="1"/>
        <v>0</v>
      </c>
      <c r="G26" s="81">
        <f t="shared" si="0"/>
        <v>0</v>
      </c>
    </row>
    <row r="27" spans="1:13" s="39" customFormat="1" ht="14.25">
      <c r="A27" s="41" t="s">
        <v>31</v>
      </c>
      <c r="B27" s="146" t="s">
        <v>119</v>
      </c>
      <c r="C27" s="101">
        <v>1.8</v>
      </c>
      <c r="D27" s="81">
        <v>35048.88</v>
      </c>
      <c r="E27" s="81">
        <v>34949.48</v>
      </c>
      <c r="F27" s="80">
        <f>F44</f>
        <v>87839.4948</v>
      </c>
      <c r="G27" s="81">
        <f t="shared" si="0"/>
        <v>-99.39999999999418</v>
      </c>
      <c r="M27" s="193"/>
    </row>
    <row r="28" spans="1:7" s="39" customFormat="1" ht="14.25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80">
        <f>D28</f>
        <v>0</v>
      </c>
      <c r="G28" s="81">
        <f t="shared" si="0"/>
        <v>0</v>
      </c>
    </row>
    <row r="29" spans="1:7" s="39" customFormat="1" ht="14.25">
      <c r="A29" s="41" t="s">
        <v>35</v>
      </c>
      <c r="B29" s="140" t="s">
        <v>36</v>
      </c>
      <c r="C29" s="101"/>
      <c r="D29" s="81">
        <f>SUM(D30:D33)</f>
        <v>796524.1900000001</v>
      </c>
      <c r="E29" s="81">
        <f>SUM(E30:E33)</f>
        <v>794075.93</v>
      </c>
      <c r="F29" s="80">
        <f t="shared" si="1"/>
        <v>796524.1900000001</v>
      </c>
      <c r="G29" s="81">
        <f>SUM(G30:G33)</f>
        <v>-2448.2600000000093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4304.82</v>
      </c>
      <c r="E30" s="88">
        <v>4289.07</v>
      </c>
      <c r="F30" s="87">
        <f>D30</f>
        <v>4304.82</v>
      </c>
      <c r="G30" s="88">
        <f>E30-D30</f>
        <v>-15.75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240835.34</v>
      </c>
      <c r="E31" s="88">
        <v>242017.33</v>
      </c>
      <c r="F31" s="87">
        <f t="shared" si="1"/>
        <v>240835.34</v>
      </c>
      <c r="G31" s="88">
        <f>E31-D31</f>
        <v>1181.9899999999907</v>
      </c>
    </row>
    <row r="32" spans="1:7" ht="15">
      <c r="A32" s="34" t="s">
        <v>42</v>
      </c>
      <c r="B32" s="34" t="s">
        <v>40</v>
      </c>
      <c r="C32" s="205">
        <v>0</v>
      </c>
      <c r="D32" s="88">
        <v>0</v>
      </c>
      <c r="E32" s="88">
        <v>0</v>
      </c>
      <c r="F32" s="87">
        <f t="shared" si="1"/>
        <v>0</v>
      </c>
      <c r="G32" s="88">
        <f>E32-D32</f>
        <v>0</v>
      </c>
    </row>
    <row r="33" spans="1:7" ht="15">
      <c r="A33" s="34" t="s">
        <v>41</v>
      </c>
      <c r="B33" s="34" t="s">
        <v>43</v>
      </c>
      <c r="C33" s="103" t="s">
        <v>301</v>
      </c>
      <c r="D33" s="88">
        <v>551384.03</v>
      </c>
      <c r="E33" s="88">
        <v>547769.53</v>
      </c>
      <c r="F33" s="87">
        <f t="shared" si="1"/>
        <v>551384.03</v>
      </c>
      <c r="G33" s="88">
        <f>E33-D33</f>
        <v>-3614.5</v>
      </c>
    </row>
    <row r="34" spans="1:10" s="106" customFormat="1" ht="5.25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D13+D19+D24+D25+D26+D27+D28+D29-E19-E24-E25-E26-E27-E28-E29</f>
        <v>-36800.109999999986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27785.29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-30771.247099999993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2:5" ht="8.25" customHeight="1">
      <c r="B40" s="162"/>
      <c r="C40" s="162"/>
      <c r="D40" s="162"/>
      <c r="E40" s="162"/>
    </row>
    <row r="41" spans="1:9" ht="24.75" customHeight="1">
      <c r="A41" s="321" t="s">
        <v>44</v>
      </c>
      <c r="B41" s="321"/>
      <c r="C41" s="321"/>
      <c r="D41" s="321"/>
      <c r="E41" s="321"/>
      <c r="F41" s="321"/>
      <c r="G41" s="321"/>
      <c r="H41" s="321"/>
      <c r="I41" s="321"/>
    </row>
    <row r="42" ht="8.25" customHeight="1"/>
    <row r="43" spans="1:7" s="179" customFormat="1" ht="28.5" customHeight="1">
      <c r="A43" s="109" t="s">
        <v>11</v>
      </c>
      <c r="B43" s="340" t="s">
        <v>45</v>
      </c>
      <c r="C43" s="352"/>
      <c r="D43" s="109" t="s">
        <v>172</v>
      </c>
      <c r="E43" s="109" t="s">
        <v>171</v>
      </c>
      <c r="F43" s="340" t="s">
        <v>46</v>
      </c>
      <c r="G43" s="351"/>
    </row>
    <row r="44" spans="1:7" s="119" customFormat="1" ht="13.5" customHeight="1">
      <c r="A44" s="113">
        <v>1</v>
      </c>
      <c r="B44" s="342" t="s">
        <v>114</v>
      </c>
      <c r="C44" s="345"/>
      <c r="D44" s="180"/>
      <c r="E44" s="180"/>
      <c r="F44" s="356">
        <f>SUM(F45:G48)</f>
        <v>87839.4948</v>
      </c>
      <c r="G44" s="351"/>
    </row>
    <row r="45" spans="1:7" s="119" customFormat="1" ht="13.5" customHeight="1">
      <c r="A45" s="34" t="s">
        <v>16</v>
      </c>
      <c r="B45" s="364" t="s">
        <v>263</v>
      </c>
      <c r="C45" s="365"/>
      <c r="D45" s="202" t="s">
        <v>308</v>
      </c>
      <c r="E45" s="202"/>
      <c r="F45" s="355">
        <v>890</v>
      </c>
      <c r="G45" s="355"/>
    </row>
    <row r="46" spans="1:7" s="119" customFormat="1" ht="13.5" customHeight="1">
      <c r="A46" s="34" t="s">
        <v>18</v>
      </c>
      <c r="B46" s="325" t="s">
        <v>663</v>
      </c>
      <c r="C46" s="350"/>
      <c r="D46" s="202"/>
      <c r="E46" s="159" t="s">
        <v>286</v>
      </c>
      <c r="F46" s="344">
        <v>5600</v>
      </c>
      <c r="G46" s="344"/>
    </row>
    <row r="47" spans="1:7" s="119" customFormat="1" ht="13.5" customHeight="1">
      <c r="A47" s="34" t="s">
        <v>20</v>
      </c>
      <c r="B47" s="325" t="s">
        <v>693</v>
      </c>
      <c r="C47" s="350"/>
      <c r="D47" s="202"/>
      <c r="E47" s="159"/>
      <c r="F47" s="344">
        <v>81000</v>
      </c>
      <c r="G47" s="344"/>
    </row>
    <row r="48" spans="1:7" ht="13.5" customHeight="1">
      <c r="A48" s="34" t="s">
        <v>22</v>
      </c>
      <c r="B48" s="364" t="s">
        <v>207</v>
      </c>
      <c r="C48" s="365"/>
      <c r="D48" s="202"/>
      <c r="E48" s="202"/>
      <c r="F48" s="355">
        <f>E27*1%</f>
        <v>349.49480000000005</v>
      </c>
      <c r="G48" s="355"/>
    </row>
    <row r="49" s="71" customFormat="1" ht="15"/>
    <row r="50" spans="1:6" s="71" customFormat="1" ht="15">
      <c r="A50" s="71" t="s">
        <v>55</v>
      </c>
      <c r="C50" s="71" t="s">
        <v>49</v>
      </c>
      <c r="F50" s="71" t="s">
        <v>93</v>
      </c>
    </row>
    <row r="51" s="71" customFormat="1" ht="13.5" customHeight="1">
      <c r="F51" s="132" t="s">
        <v>296</v>
      </c>
    </row>
    <row r="52" s="71" customFormat="1" ht="15">
      <c r="A52" s="71" t="s">
        <v>50</v>
      </c>
    </row>
    <row r="53" spans="3:7" s="71" customFormat="1" ht="11.25" customHeight="1">
      <c r="C53" s="134" t="s">
        <v>51</v>
      </c>
      <c r="E53" s="134"/>
      <c r="F53" s="134"/>
      <c r="G53" s="134"/>
    </row>
    <row r="54" s="71" customFormat="1" ht="15"/>
    <row r="55" s="71" customFormat="1" ht="15"/>
  </sheetData>
  <sheetProtection/>
  <mergeCells count="22">
    <mergeCell ref="B47:C47"/>
    <mergeCell ref="F47:G47"/>
    <mergeCell ref="F45:G45"/>
    <mergeCell ref="B46:C46"/>
    <mergeCell ref="F46:G46"/>
    <mergeCell ref="A12:I12"/>
    <mergeCell ref="A11:I11"/>
    <mergeCell ref="A1:I1"/>
    <mergeCell ref="A2:I2"/>
    <mergeCell ref="A5:I5"/>
    <mergeCell ref="A10:I10"/>
    <mergeCell ref="A3:K3"/>
    <mergeCell ref="B48:C48"/>
    <mergeCell ref="F48:G48"/>
    <mergeCell ref="A13:C13"/>
    <mergeCell ref="A35:C35"/>
    <mergeCell ref="F44:G44"/>
    <mergeCell ref="A41:I41"/>
    <mergeCell ref="F43:G43"/>
    <mergeCell ref="B43:C43"/>
    <mergeCell ref="B44:C44"/>
    <mergeCell ref="B45:C4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18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140625" style="35" customWidth="1"/>
    <col min="4" max="4" width="12.8515625" style="35" customWidth="1"/>
    <col min="5" max="5" width="13.421875" style="35" customWidth="1"/>
    <col min="6" max="6" width="13.00390625" style="35" customWidth="1"/>
    <col min="7" max="7" width="14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7.2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11.2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3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5" s="71" customFormat="1" ht="16.5" customHeight="1">
      <c r="A7" s="71" t="s">
        <v>2</v>
      </c>
      <c r="E7" s="132" t="s">
        <v>65</v>
      </c>
    </row>
    <row r="8" spans="1:5" s="71" customFormat="1" ht="15">
      <c r="A8" s="71" t="s">
        <v>3</v>
      </c>
      <c r="E8" s="132" t="s">
        <v>343</v>
      </c>
    </row>
    <row r="9" s="71" customFormat="1" ht="8.2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728532.82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'[1]Социалистическая 12'!$G$37</f>
        <v>16447.33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'[1]Социалистическая 12'!$G$38</f>
        <v>-11204.305100000001</v>
      </c>
      <c r="H16" s="66"/>
      <c r="I16" s="66"/>
    </row>
    <row r="17" s="71" customFormat="1" ht="7.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175" customFormat="1" ht="31.5" customHeight="1">
      <c r="A19" s="79" t="s">
        <v>14</v>
      </c>
      <c r="B19" s="41" t="s">
        <v>15</v>
      </c>
      <c r="C19" s="141">
        <f>C20+C21+C22+C23</f>
        <v>9.969999999999999</v>
      </c>
      <c r="D19" s="80">
        <v>286039.98</v>
      </c>
      <c r="E19" s="80">
        <v>280930.63</v>
      </c>
      <c r="F19" s="80">
        <f>D19</f>
        <v>286039.98</v>
      </c>
      <c r="G19" s="81">
        <f aca="true" t="shared" si="0" ref="G19:G28">E19-D19</f>
        <v>-5109.349999999977</v>
      </c>
      <c r="H19" s="142">
        <f>C19</f>
        <v>9.969999999999999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95824.82780341023</v>
      </c>
      <c r="E20" s="87">
        <f>E19*I20</f>
        <v>94113.16992978936</v>
      </c>
      <c r="F20" s="87">
        <f>D20</f>
        <v>95824.82780341023</v>
      </c>
      <c r="G20" s="88">
        <f t="shared" si="0"/>
        <v>-1711.6578736208612</v>
      </c>
      <c r="H20" s="82">
        <f>C20</f>
        <v>3.34</v>
      </c>
      <c r="I20" s="71">
        <f>H20/H19</f>
        <v>0.3350050150451354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46764.81117352057</v>
      </c>
      <c r="E21" s="87">
        <f>E19*I21</f>
        <v>45929.48113340021</v>
      </c>
      <c r="F21" s="87">
        <f>D21</f>
        <v>46764.81117352057</v>
      </c>
      <c r="G21" s="88">
        <f t="shared" si="0"/>
        <v>-835.3300401203596</v>
      </c>
      <c r="H21" s="82">
        <f>C21</f>
        <v>1.63</v>
      </c>
      <c r="I21" s="71">
        <f>H21/H19</f>
        <v>0.16349047141424275</v>
      </c>
    </row>
    <row r="22" spans="1:9" s="71" customFormat="1" ht="15" customHeight="1">
      <c r="A22" s="85" t="s">
        <v>20</v>
      </c>
      <c r="B22" s="34" t="s">
        <v>21</v>
      </c>
      <c r="C22" s="103">
        <v>2.07</v>
      </c>
      <c r="D22" s="87">
        <f>D19*I22</f>
        <v>59388.441183550654</v>
      </c>
      <c r="E22" s="87">
        <f>E19*I22</f>
        <v>58327.62327983952</v>
      </c>
      <c r="F22" s="87">
        <f>D22</f>
        <v>59388.441183550654</v>
      </c>
      <c r="G22" s="88">
        <f t="shared" si="0"/>
        <v>-1060.817903711133</v>
      </c>
      <c r="H22" s="82">
        <f>C22</f>
        <v>2.07</v>
      </c>
      <c r="I22" s="71">
        <f>H22/H19</f>
        <v>0.20762286860581747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84061.89983951856</v>
      </c>
      <c r="E23" s="87">
        <f>E19*I23</f>
        <v>82560.35565697093</v>
      </c>
      <c r="F23" s="87">
        <f>D23</f>
        <v>84061.89983951856</v>
      </c>
      <c r="G23" s="88">
        <f t="shared" si="0"/>
        <v>-1501.54418254763</v>
      </c>
      <c r="H23" s="82">
        <f>C23</f>
        <v>2.93</v>
      </c>
      <c r="I23" s="71">
        <f>H23/H19</f>
        <v>0.29388164493480445</v>
      </c>
    </row>
    <row r="24" spans="1:7" s="39" customFormat="1" ht="15" customHeight="1">
      <c r="A24" s="41" t="s">
        <v>25</v>
      </c>
      <c r="B24" s="146" t="s">
        <v>26</v>
      </c>
      <c r="C24" s="147">
        <v>0</v>
      </c>
      <c r="D24" s="81">
        <v>0</v>
      </c>
      <c r="E24" s="81">
        <v>0</v>
      </c>
      <c r="F24" s="80">
        <f aca="true" t="shared" si="1" ref="F24:F33">D24</f>
        <v>0</v>
      </c>
      <c r="G24" s="81">
        <f t="shared" si="0"/>
        <v>0</v>
      </c>
    </row>
    <row r="25" spans="1:7" s="39" customFormat="1" ht="13.5" customHeight="1">
      <c r="A25" s="41" t="s">
        <v>27</v>
      </c>
      <c r="B25" s="146" t="s">
        <v>28</v>
      </c>
      <c r="C25" s="147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s="39" customFormat="1" ht="15.75" customHeight="1">
      <c r="A26" s="41" t="s">
        <v>29</v>
      </c>
      <c r="B26" s="146" t="s">
        <v>170</v>
      </c>
      <c r="C26" s="147" t="s">
        <v>307</v>
      </c>
      <c r="D26" s="81">
        <v>0</v>
      </c>
      <c r="E26" s="81">
        <v>0</v>
      </c>
      <c r="F26" s="80">
        <f t="shared" si="1"/>
        <v>0</v>
      </c>
      <c r="G26" s="81">
        <f t="shared" si="0"/>
        <v>0</v>
      </c>
    </row>
    <row r="27" spans="1:13" s="39" customFormat="1" ht="14.25">
      <c r="A27" s="41" t="s">
        <v>31</v>
      </c>
      <c r="B27" s="146" t="s">
        <v>119</v>
      </c>
      <c r="C27" s="147">
        <v>2.82</v>
      </c>
      <c r="D27" s="81">
        <v>74474.85</v>
      </c>
      <c r="E27" s="81">
        <v>79498.38</v>
      </c>
      <c r="F27" s="80">
        <f>F43</f>
        <v>17509.2238</v>
      </c>
      <c r="G27" s="81">
        <f t="shared" si="0"/>
        <v>5023.529999999999</v>
      </c>
      <c r="M27" s="193"/>
    </row>
    <row r="28" spans="1:7" s="39" customFormat="1" ht="14.25">
      <c r="A28" s="41" t="s">
        <v>33</v>
      </c>
      <c r="B28" s="140" t="s">
        <v>34</v>
      </c>
      <c r="C28" s="141">
        <v>0</v>
      </c>
      <c r="D28" s="81">
        <v>0</v>
      </c>
      <c r="E28" s="81">
        <v>6482</v>
      </c>
      <c r="F28" s="80">
        <f>D28</f>
        <v>0</v>
      </c>
      <c r="G28" s="81">
        <f t="shared" si="0"/>
        <v>6482</v>
      </c>
    </row>
    <row r="29" spans="1:7" s="39" customFormat="1" ht="14.25">
      <c r="A29" s="41" t="s">
        <v>35</v>
      </c>
      <c r="B29" s="140" t="s">
        <v>36</v>
      </c>
      <c r="C29" s="141"/>
      <c r="D29" s="81">
        <f>SUM(D30:D33)</f>
        <v>1336341.6400000001</v>
      </c>
      <c r="E29" s="81">
        <f>SUM(E30:E33)</f>
        <v>1368137.48</v>
      </c>
      <c r="F29" s="80">
        <f t="shared" si="1"/>
        <v>1336341.6400000001</v>
      </c>
      <c r="G29" s="81">
        <f>SUM(G30:G33)</f>
        <v>31795.84000000004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97350.08</v>
      </c>
      <c r="E30" s="88">
        <v>111485.57</v>
      </c>
      <c r="F30" s="87">
        <f>D30</f>
        <v>97350.08</v>
      </c>
      <c r="G30" s="88">
        <f>E30-D30</f>
        <v>14135.490000000005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265408.83</v>
      </c>
      <c r="E31" s="88">
        <v>266079.01</v>
      </c>
      <c r="F31" s="87">
        <f t="shared" si="1"/>
        <v>265408.83</v>
      </c>
      <c r="G31" s="88">
        <f>E31-D31</f>
        <v>670.179999999993</v>
      </c>
    </row>
    <row r="32" spans="1:7" ht="15">
      <c r="A32" s="34" t="s">
        <v>42</v>
      </c>
      <c r="B32" s="34" t="s">
        <v>143</v>
      </c>
      <c r="C32" s="205" t="s">
        <v>382</v>
      </c>
      <c r="D32" s="88">
        <v>461833.68</v>
      </c>
      <c r="E32" s="88">
        <v>435770.25</v>
      </c>
      <c r="F32" s="87">
        <f t="shared" si="1"/>
        <v>461833.68</v>
      </c>
      <c r="G32" s="88">
        <f>E32-D32</f>
        <v>-26063.429999999993</v>
      </c>
    </row>
    <row r="33" spans="1:7" ht="15" customHeight="1">
      <c r="A33" s="34" t="s">
        <v>41</v>
      </c>
      <c r="B33" s="34" t="s">
        <v>43</v>
      </c>
      <c r="C33" s="103" t="s">
        <v>301</v>
      </c>
      <c r="D33" s="88">
        <v>511749.05</v>
      </c>
      <c r="E33" s="88">
        <v>554802.65</v>
      </c>
      <c r="F33" s="87">
        <f t="shared" si="1"/>
        <v>511749.05</v>
      </c>
      <c r="G33" s="88">
        <f>E33-D33</f>
        <v>43053.600000000035</v>
      </c>
    </row>
    <row r="34" spans="1:10" s="106" customFormat="1" ht="7.5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D13+D19+D24+D25+D26+D27+D28+D29-E19-E24-E25-E26-E27-E28-E29</f>
        <v>690340.8000000003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22929.33</v>
      </c>
      <c r="H37" s="66"/>
      <c r="I37" s="66"/>
    </row>
    <row r="38" spans="1:13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50784.85110000001</v>
      </c>
      <c r="H38" s="66"/>
      <c r="I38" s="66"/>
      <c r="M38" s="152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ht="26.25" customHeight="1">
      <c r="A40" s="321" t="s">
        <v>44</v>
      </c>
      <c r="B40" s="321"/>
      <c r="C40" s="321"/>
      <c r="D40" s="321"/>
      <c r="E40" s="321"/>
      <c r="F40" s="321"/>
      <c r="G40" s="321"/>
      <c r="H40" s="321"/>
      <c r="I40" s="321"/>
    </row>
    <row r="42" spans="1:7" s="179" customFormat="1" ht="28.5" customHeight="1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1"/>
    </row>
    <row r="43" spans="1:7" s="119" customFormat="1" ht="12.75" customHeight="1">
      <c r="A43" s="113" t="s">
        <v>47</v>
      </c>
      <c r="B43" s="342" t="s">
        <v>114</v>
      </c>
      <c r="C43" s="345"/>
      <c r="D43" s="180"/>
      <c r="E43" s="180"/>
      <c r="F43" s="356">
        <f>SUM(F44:G47)</f>
        <v>17509.2238</v>
      </c>
      <c r="G43" s="351"/>
    </row>
    <row r="44" spans="1:7" ht="12.75" customHeight="1">
      <c r="A44" s="34" t="s">
        <v>16</v>
      </c>
      <c r="B44" s="325" t="s">
        <v>304</v>
      </c>
      <c r="C44" s="327"/>
      <c r="D44" s="158" t="s">
        <v>259</v>
      </c>
      <c r="E44" s="158">
        <v>0.01</v>
      </c>
      <c r="F44" s="355">
        <v>774.46</v>
      </c>
      <c r="G44" s="355"/>
    </row>
    <row r="45" spans="1:7" ht="12.75" customHeight="1">
      <c r="A45" s="34" t="s">
        <v>18</v>
      </c>
      <c r="B45" s="121" t="s">
        <v>305</v>
      </c>
      <c r="C45" s="122"/>
      <c r="D45" s="158" t="s">
        <v>293</v>
      </c>
      <c r="E45" s="158">
        <v>0.02</v>
      </c>
      <c r="F45" s="355">
        <v>3939.78</v>
      </c>
      <c r="G45" s="355"/>
    </row>
    <row r="46" spans="1:7" ht="12.75" customHeight="1">
      <c r="A46" s="34" t="s">
        <v>20</v>
      </c>
      <c r="B46" s="121" t="s">
        <v>694</v>
      </c>
      <c r="C46" s="122"/>
      <c r="D46" s="158"/>
      <c r="E46" s="158"/>
      <c r="F46" s="355">
        <v>12000</v>
      </c>
      <c r="G46" s="355"/>
    </row>
    <row r="47" spans="1:7" ht="12.75" customHeight="1">
      <c r="A47" s="34" t="s">
        <v>22</v>
      </c>
      <c r="B47" s="325" t="s">
        <v>207</v>
      </c>
      <c r="C47" s="327"/>
      <c r="D47" s="158"/>
      <c r="E47" s="158"/>
      <c r="F47" s="366">
        <f>E27*1%</f>
        <v>794.9838000000001</v>
      </c>
      <c r="G47" s="367"/>
    </row>
    <row r="48" spans="2:5" ht="15">
      <c r="B48" s="162"/>
      <c r="C48" s="162"/>
      <c r="D48" s="162"/>
      <c r="E48" s="162"/>
    </row>
    <row r="49" spans="1:6" s="71" customFormat="1" ht="15">
      <c r="A49" s="71" t="s">
        <v>55</v>
      </c>
      <c r="C49" s="71" t="s">
        <v>49</v>
      </c>
      <c r="F49" s="71" t="s">
        <v>93</v>
      </c>
    </row>
    <row r="50" s="71" customFormat="1" ht="13.5" customHeight="1">
      <c r="F50" s="132" t="s">
        <v>296</v>
      </c>
    </row>
    <row r="51" s="71" customFormat="1" ht="15">
      <c r="A51" s="71" t="s">
        <v>50</v>
      </c>
    </row>
    <row r="52" spans="3:7" s="71" customFormat="1" ht="15">
      <c r="C52" s="134" t="s">
        <v>51</v>
      </c>
      <c r="E52" s="134"/>
      <c r="F52" s="134"/>
      <c r="G52" s="134"/>
    </row>
    <row r="53" s="71" customFormat="1" ht="15"/>
    <row r="54" s="71" customFormat="1" ht="15"/>
  </sheetData>
  <sheetProtection/>
  <mergeCells count="20">
    <mergeCell ref="B44:C44"/>
    <mergeCell ref="A11:I11"/>
    <mergeCell ref="A13:C13"/>
    <mergeCell ref="A35:C35"/>
    <mergeCell ref="A12:I12"/>
    <mergeCell ref="A40:I40"/>
    <mergeCell ref="F43:G43"/>
    <mergeCell ref="F42:G42"/>
    <mergeCell ref="B42:C42"/>
    <mergeCell ref="B43:C43"/>
    <mergeCell ref="F45:G45"/>
    <mergeCell ref="F46:G46"/>
    <mergeCell ref="F47:G47"/>
    <mergeCell ref="B47:C47"/>
    <mergeCell ref="A1:I1"/>
    <mergeCell ref="A2:I2"/>
    <mergeCell ref="A5:I5"/>
    <mergeCell ref="A10:I10"/>
    <mergeCell ref="A3:K3"/>
    <mergeCell ref="F44:G4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31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4.421875" style="35" customWidth="1"/>
    <col min="3" max="3" width="14.8515625" style="35" customWidth="1"/>
    <col min="4" max="4" width="12.8515625" style="35" customWidth="1"/>
    <col min="5" max="5" width="12.57421875" style="35" customWidth="1"/>
    <col min="6" max="6" width="12.0039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8515625" style="35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4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6" s="71" customFormat="1" ht="16.5" customHeight="1">
      <c r="A7" s="71" t="s">
        <v>2</v>
      </c>
      <c r="F7" s="132" t="s">
        <v>66</v>
      </c>
    </row>
    <row r="8" spans="1:6" s="71" customFormat="1" ht="15">
      <c r="A8" s="71" t="s">
        <v>3</v>
      </c>
      <c r="F8" s="132" t="s">
        <v>329</v>
      </c>
    </row>
    <row r="9" s="71" customFormat="1" ht="6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270194.66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'[1]Телевизионная 2'!$G$37</f>
        <v>13888.84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'[1]Телевизионная 2'!$G$38</f>
        <v>-167811.36560000002</v>
      </c>
      <c r="H16" s="66"/>
      <c r="I16" s="66"/>
    </row>
    <row r="17" s="71" customFormat="1" ht="8.2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14" s="175" customFormat="1" ht="28.5">
      <c r="A19" s="79" t="s">
        <v>14</v>
      </c>
      <c r="B19" s="41" t="s">
        <v>15</v>
      </c>
      <c r="C19" s="141">
        <f>C20+C21+C22+C23</f>
        <v>9.53</v>
      </c>
      <c r="D19" s="80">
        <v>209648.47</v>
      </c>
      <c r="E19" s="80">
        <v>191641.64</v>
      </c>
      <c r="F19" s="80">
        <f>D19</f>
        <v>209648.47</v>
      </c>
      <c r="G19" s="81">
        <f aca="true" t="shared" si="0" ref="G19:G28">E19-D19</f>
        <v>-18006.829999999987</v>
      </c>
      <c r="H19" s="174">
        <f>C19</f>
        <v>9.53</v>
      </c>
      <c r="N19" s="174"/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73475.95905561384</v>
      </c>
      <c r="E20" s="87">
        <f>E19*I20</f>
        <v>67165.06585519413</v>
      </c>
      <c r="F20" s="87">
        <f>D20</f>
        <v>73475.95905561384</v>
      </c>
      <c r="G20" s="88">
        <f t="shared" si="0"/>
        <v>-6310.893200419712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35858.02792235048</v>
      </c>
      <c r="E21" s="87">
        <f>E19*I21</f>
        <v>32778.16088142708</v>
      </c>
      <c r="F21" s="87">
        <f>D21</f>
        <v>35858.02792235048</v>
      </c>
      <c r="G21" s="88">
        <f t="shared" si="0"/>
        <v>-3079.8670409233964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35858.02792235048</v>
      </c>
      <c r="E22" s="87">
        <f>E19*I22</f>
        <v>32778.16088142708</v>
      </c>
      <c r="F22" s="87">
        <f>D22</f>
        <v>35858.02792235048</v>
      </c>
      <c r="G22" s="88">
        <f t="shared" si="0"/>
        <v>-3079.8670409233964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64456.45509968521</v>
      </c>
      <c r="E23" s="87">
        <f>E19*I23</f>
        <v>58920.252381951745</v>
      </c>
      <c r="F23" s="87">
        <f>D23</f>
        <v>64456.45509968521</v>
      </c>
      <c r="G23" s="88">
        <f t="shared" si="0"/>
        <v>-5536.202717733468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26</v>
      </c>
      <c r="C24" s="101">
        <v>0</v>
      </c>
      <c r="D24" s="81">
        <v>0</v>
      </c>
      <c r="E24" s="81">
        <v>0</v>
      </c>
      <c r="F24" s="80">
        <f aca="true" t="shared" si="1" ref="F24:F33">D24</f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170</v>
      </c>
      <c r="C26" s="147">
        <v>1902.11</v>
      </c>
      <c r="D26" s="81">
        <v>0</v>
      </c>
      <c r="E26" s="81">
        <v>0</v>
      </c>
      <c r="F26" s="80">
        <f t="shared" si="1"/>
        <v>0</v>
      </c>
      <c r="G26" s="81">
        <f t="shared" si="0"/>
        <v>0</v>
      </c>
    </row>
    <row r="27" spans="1:13" s="39" customFormat="1" ht="14.25">
      <c r="A27" s="41" t="s">
        <v>31</v>
      </c>
      <c r="B27" s="146" t="s">
        <v>119</v>
      </c>
      <c r="C27" s="101">
        <v>1.8</v>
      </c>
      <c r="D27" s="81">
        <v>37156.32</v>
      </c>
      <c r="E27" s="81">
        <v>36204.91</v>
      </c>
      <c r="F27" s="80">
        <f>F43</f>
        <v>44016.7991</v>
      </c>
      <c r="G27" s="81">
        <f t="shared" si="0"/>
        <v>-951.4099999999962</v>
      </c>
      <c r="M27" s="193"/>
    </row>
    <row r="28" spans="1:7" s="39" customFormat="1" ht="14.25">
      <c r="A28" s="41" t="s">
        <v>33</v>
      </c>
      <c r="B28" s="140" t="s">
        <v>34</v>
      </c>
      <c r="C28" s="46">
        <v>0</v>
      </c>
      <c r="D28" s="81">
        <v>0</v>
      </c>
      <c r="E28" s="81">
        <v>61.3</v>
      </c>
      <c r="F28" s="80">
        <f>D28</f>
        <v>0</v>
      </c>
      <c r="G28" s="81">
        <f t="shared" si="0"/>
        <v>61.3</v>
      </c>
    </row>
    <row r="29" spans="1:7" s="39" customFormat="1" ht="14.25">
      <c r="A29" s="41" t="s">
        <v>35</v>
      </c>
      <c r="B29" s="140" t="s">
        <v>36</v>
      </c>
      <c r="C29" s="101"/>
      <c r="D29" s="81">
        <f>SUM(D30:D33)</f>
        <v>613546.25</v>
      </c>
      <c r="E29" s="81">
        <f>SUM(E30:E33)</f>
        <v>582684</v>
      </c>
      <c r="F29" s="80">
        <f t="shared" si="1"/>
        <v>613546.25</v>
      </c>
      <c r="G29" s="81">
        <f>SUM(G30:G33)</f>
        <v>-30862.25000000005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19526.49</v>
      </c>
      <c r="E30" s="88">
        <v>18085.76</v>
      </c>
      <c r="F30" s="87">
        <f>D30</f>
        <v>19526.49</v>
      </c>
      <c r="G30" s="88">
        <f>E30-D30</f>
        <v>-1440.7300000000032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222503.3</v>
      </c>
      <c r="E31" s="88">
        <v>203988.52</v>
      </c>
      <c r="F31" s="87">
        <f t="shared" si="1"/>
        <v>222503.3</v>
      </c>
      <c r="G31" s="88">
        <f>E31-D31</f>
        <v>-18514.78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7">
        <f t="shared" si="1"/>
        <v>0</v>
      </c>
      <c r="G32" s="88">
        <f>E32-D32</f>
        <v>0</v>
      </c>
    </row>
    <row r="33" spans="1:7" ht="15">
      <c r="A33" s="34" t="s">
        <v>41</v>
      </c>
      <c r="B33" s="34" t="s">
        <v>43</v>
      </c>
      <c r="C33" s="103" t="s">
        <v>301</v>
      </c>
      <c r="D33" s="88">
        <v>371516.46</v>
      </c>
      <c r="E33" s="88">
        <v>360609.72</v>
      </c>
      <c r="F33" s="87">
        <f t="shared" si="1"/>
        <v>371516.46</v>
      </c>
      <c r="G33" s="88">
        <f>E33-D33</f>
        <v>-10906.740000000049</v>
      </c>
    </row>
    <row r="34" spans="1:10" s="106" customFormat="1" ht="7.5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D13+D19+D24+D25+D26+D27+D28+D29-E19-E24-E25-E26-E27-E28-E29</f>
        <v>319953.84999999986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13950.14</v>
      </c>
      <c r="H37" s="66"/>
      <c r="I37" s="66"/>
    </row>
    <row r="38" spans="1:13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-175623.25470000002</v>
      </c>
      <c r="H38" s="66"/>
      <c r="I38" s="66"/>
      <c r="M38" s="152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ht="27" customHeight="1">
      <c r="A40" s="321" t="s">
        <v>44</v>
      </c>
      <c r="B40" s="321"/>
      <c r="C40" s="321"/>
      <c r="D40" s="321"/>
      <c r="E40" s="321"/>
      <c r="F40" s="321"/>
      <c r="G40" s="321"/>
      <c r="H40" s="321"/>
      <c r="I40" s="321"/>
    </row>
    <row r="41" ht="4.5" customHeight="1"/>
    <row r="42" spans="1:7" s="179" customFormat="1" ht="28.5" customHeight="1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1"/>
    </row>
    <row r="43" spans="1:7" s="119" customFormat="1" ht="12.75" customHeight="1">
      <c r="A43" s="113" t="s">
        <v>47</v>
      </c>
      <c r="B43" s="342" t="s">
        <v>114</v>
      </c>
      <c r="C43" s="345"/>
      <c r="D43" s="115"/>
      <c r="E43" s="115"/>
      <c r="F43" s="356">
        <f>SUM(F44:G47)</f>
        <v>44016.7991</v>
      </c>
      <c r="G43" s="351"/>
    </row>
    <row r="44" spans="1:7" ht="12.75" customHeight="1">
      <c r="A44" s="34" t="s">
        <v>16</v>
      </c>
      <c r="B44" s="325" t="s">
        <v>272</v>
      </c>
      <c r="C44" s="327"/>
      <c r="D44" s="123" t="s">
        <v>330</v>
      </c>
      <c r="E44" s="126">
        <v>0.002</v>
      </c>
      <c r="F44" s="366">
        <v>3334.75</v>
      </c>
      <c r="G44" s="367"/>
    </row>
    <row r="45" spans="1:7" ht="12.75" customHeight="1">
      <c r="A45" s="34" t="s">
        <v>18</v>
      </c>
      <c r="B45" s="325" t="s">
        <v>650</v>
      </c>
      <c r="C45" s="327"/>
      <c r="D45" s="123" t="s">
        <v>173</v>
      </c>
      <c r="E45" s="123">
        <v>1</v>
      </c>
      <c r="F45" s="366">
        <v>35000</v>
      </c>
      <c r="G45" s="367"/>
    </row>
    <row r="46" spans="1:7" ht="12.75" customHeight="1">
      <c r="A46" s="34" t="s">
        <v>20</v>
      </c>
      <c r="B46" s="325" t="s">
        <v>663</v>
      </c>
      <c r="C46" s="350"/>
      <c r="D46" s="123"/>
      <c r="E46" s="159" t="s">
        <v>286</v>
      </c>
      <c r="F46" s="344">
        <v>5320</v>
      </c>
      <c r="G46" s="344"/>
    </row>
    <row r="47" spans="1:7" ht="12.75" customHeight="1">
      <c r="A47" s="34" t="s">
        <v>22</v>
      </c>
      <c r="B47" s="364" t="s">
        <v>207</v>
      </c>
      <c r="C47" s="365"/>
      <c r="D47" s="130"/>
      <c r="E47" s="130"/>
      <c r="F47" s="366">
        <f>E27*1%</f>
        <v>362.04910000000007</v>
      </c>
      <c r="G47" s="367"/>
    </row>
    <row r="48" spans="1:7" ht="12.75" customHeight="1">
      <c r="A48" s="176"/>
      <c r="B48" s="97"/>
      <c r="C48" s="97"/>
      <c r="D48" s="98"/>
      <c r="E48" s="98"/>
      <c r="F48" s="192"/>
      <c r="G48" s="192"/>
    </row>
    <row r="49" spans="1:6" s="71" customFormat="1" ht="15">
      <c r="A49" s="71" t="s">
        <v>55</v>
      </c>
      <c r="C49" s="71" t="s">
        <v>49</v>
      </c>
      <c r="F49" s="71" t="s">
        <v>93</v>
      </c>
    </row>
    <row r="50" s="71" customFormat="1" ht="13.5" customHeight="1">
      <c r="F50" s="132" t="s">
        <v>296</v>
      </c>
    </row>
    <row r="51" s="71" customFormat="1" ht="15">
      <c r="A51" s="71" t="s">
        <v>50</v>
      </c>
    </row>
    <row r="52" spans="3:7" s="71" customFormat="1" ht="15">
      <c r="C52" s="134" t="s">
        <v>51</v>
      </c>
      <c r="E52" s="134"/>
      <c r="F52" s="134"/>
      <c r="G52" s="134"/>
    </row>
    <row r="53" s="71" customFormat="1" ht="15"/>
    <row r="54" s="71" customFormat="1" ht="15"/>
  </sheetData>
  <sheetProtection/>
  <mergeCells count="22">
    <mergeCell ref="B43:C43"/>
    <mergeCell ref="B46:C46"/>
    <mergeCell ref="F46:G46"/>
    <mergeCell ref="A35:C35"/>
    <mergeCell ref="F44:G44"/>
    <mergeCell ref="B44:C44"/>
    <mergeCell ref="A11:I11"/>
    <mergeCell ref="A12:I12"/>
    <mergeCell ref="A13:C13"/>
    <mergeCell ref="A40:I40"/>
    <mergeCell ref="F42:G42"/>
    <mergeCell ref="B42:C42"/>
    <mergeCell ref="A1:I1"/>
    <mergeCell ref="A2:I2"/>
    <mergeCell ref="A5:I5"/>
    <mergeCell ref="A10:I10"/>
    <mergeCell ref="A3:K3"/>
    <mergeCell ref="F47:G47"/>
    <mergeCell ref="B47:C47"/>
    <mergeCell ref="F45:G45"/>
    <mergeCell ref="B45:C45"/>
    <mergeCell ref="F43:G43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22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1.421875" style="35" customWidth="1"/>
    <col min="3" max="3" width="13.28125" style="35" customWidth="1"/>
    <col min="4" max="4" width="13.57421875" style="35" customWidth="1"/>
    <col min="5" max="5" width="13.140625" style="35" customWidth="1"/>
    <col min="6" max="6" width="12.8515625" style="35" customWidth="1"/>
    <col min="7" max="7" width="13.28125" style="35" customWidth="1"/>
    <col min="8" max="8" width="10.8515625" style="35" hidden="1" customWidth="1" outlineLevel="1"/>
    <col min="9" max="9" width="14.421875" style="35" hidden="1" customWidth="1" outlineLevel="1"/>
    <col min="10" max="11" width="9.140625" style="35" hidden="1" customWidth="1" outlineLevel="1"/>
    <col min="12" max="12" width="9.140625" style="35" hidden="1" customWidth="1" outlineLevel="1" collapsed="1"/>
    <col min="13" max="13" width="10.140625" style="35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7.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.7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3.75" customHeight="1"/>
    <row r="7" spans="1:6" s="71" customFormat="1" ht="16.5" customHeight="1">
      <c r="A7" s="71" t="s">
        <v>2</v>
      </c>
      <c r="F7" s="132" t="s">
        <v>67</v>
      </c>
    </row>
    <row r="8" spans="1:6" s="71" customFormat="1" ht="15">
      <c r="A8" s="71" t="s">
        <v>3</v>
      </c>
      <c r="F8" s="132" t="s">
        <v>135</v>
      </c>
    </row>
    <row r="9" s="71" customFormat="1" ht="18" customHeight="1"/>
    <row r="10" spans="1:9" s="71" customFormat="1" ht="11.25" customHeight="1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3.5" customHeight="1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2.75" customHeight="1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487251.59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v>15675.46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v>-13680.71</v>
      </c>
      <c r="H16" s="66"/>
      <c r="I16" s="66"/>
    </row>
    <row r="17" s="71" customFormat="1" ht="8.2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175" customFormat="1" ht="29.25">
      <c r="A19" s="79" t="s">
        <v>14</v>
      </c>
      <c r="B19" s="41" t="s">
        <v>15</v>
      </c>
      <c r="C19" s="141">
        <f>C20+C21+C22+C23</f>
        <v>9.53</v>
      </c>
      <c r="D19" s="80">
        <v>221195.4</v>
      </c>
      <c r="E19" s="80">
        <f>224131.73+205.46</f>
        <v>224337.19</v>
      </c>
      <c r="F19" s="80">
        <f>D19</f>
        <v>221195.4</v>
      </c>
      <c r="G19" s="81">
        <f aca="true" t="shared" si="0" ref="G19:G28">E19-D19</f>
        <v>3141.790000000008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77522.8369359916</v>
      </c>
      <c r="E20" s="87">
        <f>E19*I20</f>
        <v>78623.94696747114</v>
      </c>
      <c r="F20" s="87">
        <f>D20</f>
        <v>77522.8369359916</v>
      </c>
      <c r="G20" s="88">
        <f t="shared" si="0"/>
        <v>1101.1100314795476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37833.00125918153</v>
      </c>
      <c r="E21" s="87">
        <f>E19*I21</f>
        <v>38370.36932843652</v>
      </c>
      <c r="F21" s="87">
        <f>D21</f>
        <v>37833.00125918153</v>
      </c>
      <c r="G21" s="88">
        <f t="shared" si="0"/>
        <v>537.3680692549897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37833.00125918153</v>
      </c>
      <c r="E22" s="87">
        <f>E19*I22</f>
        <v>38370.36932843652</v>
      </c>
      <c r="F22" s="87">
        <f>D22</f>
        <v>37833.00125918153</v>
      </c>
      <c r="G22" s="88">
        <f t="shared" si="0"/>
        <v>537.3680692549897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68006.56054564533</v>
      </c>
      <c r="E23" s="87">
        <f>E19*I23</f>
        <v>68972.50437565583</v>
      </c>
      <c r="F23" s="87">
        <f>D23</f>
        <v>68006.56054564533</v>
      </c>
      <c r="G23" s="88">
        <f t="shared" si="0"/>
        <v>965.9438300104957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26</v>
      </c>
      <c r="C24" s="101">
        <v>0</v>
      </c>
      <c r="D24" s="81">
        <v>0</v>
      </c>
      <c r="E24" s="81">
        <v>0</v>
      </c>
      <c r="F24" s="80">
        <f aca="true" t="shared" si="1" ref="F24:F33">D24</f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170</v>
      </c>
      <c r="C26" s="147">
        <v>39.62</v>
      </c>
      <c r="D26" s="81">
        <v>0</v>
      </c>
      <c r="E26" s="81">
        <v>0</v>
      </c>
      <c r="F26" s="80">
        <f t="shared" si="1"/>
        <v>0</v>
      </c>
      <c r="G26" s="81">
        <f t="shared" si="0"/>
        <v>0</v>
      </c>
    </row>
    <row r="27" spans="1:13" s="39" customFormat="1" ht="14.25">
      <c r="A27" s="41" t="s">
        <v>31</v>
      </c>
      <c r="B27" s="146" t="s">
        <v>119</v>
      </c>
      <c r="C27" s="101">
        <v>1.8</v>
      </c>
      <c r="D27" s="81">
        <v>41778.72</v>
      </c>
      <c r="E27" s="81">
        <v>42461.88</v>
      </c>
      <c r="F27" s="80">
        <f>F44</f>
        <v>14767.6188</v>
      </c>
      <c r="G27" s="81">
        <f t="shared" si="0"/>
        <v>683.1599999999962</v>
      </c>
      <c r="M27" s="193"/>
    </row>
    <row r="28" spans="1:7" s="39" customFormat="1" ht="14.25">
      <c r="A28" s="41" t="s">
        <v>33</v>
      </c>
      <c r="B28" s="140" t="s">
        <v>34</v>
      </c>
      <c r="C28" s="46">
        <v>0</v>
      </c>
      <c r="D28" s="81">
        <v>0</v>
      </c>
      <c r="E28" s="81">
        <v>1091.28</v>
      </c>
      <c r="F28" s="80">
        <f>D28</f>
        <v>0</v>
      </c>
      <c r="G28" s="81">
        <f t="shared" si="0"/>
        <v>1091.28</v>
      </c>
    </row>
    <row r="29" spans="1:7" s="39" customFormat="1" ht="14.25">
      <c r="A29" s="41" t="s">
        <v>35</v>
      </c>
      <c r="B29" s="140" t="s">
        <v>36</v>
      </c>
      <c r="C29" s="101"/>
      <c r="D29" s="81">
        <f>SUM(D30:D33)</f>
        <v>1020694.2</v>
      </c>
      <c r="E29" s="81">
        <f>SUM(E30:E33)</f>
        <v>1007883.5800000001</v>
      </c>
      <c r="F29" s="80">
        <f t="shared" si="1"/>
        <v>1020694.2</v>
      </c>
      <c r="G29" s="81">
        <f>SUM(G30:G33)</f>
        <v>-12810.620000000006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17968.83</v>
      </c>
      <c r="E30" s="88">
        <v>17536.84</v>
      </c>
      <c r="F30" s="87">
        <f>D30</f>
        <v>17968.83</v>
      </c>
      <c r="G30" s="88">
        <f>E30-D30</f>
        <v>-431.9900000000016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345479.36</v>
      </c>
      <c r="E31" s="88">
        <v>335477.97</v>
      </c>
      <c r="F31" s="87">
        <f t="shared" si="1"/>
        <v>345479.36</v>
      </c>
      <c r="G31" s="88">
        <f>E31-D31</f>
        <v>-10001.390000000014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7">
        <f t="shared" si="1"/>
        <v>0</v>
      </c>
      <c r="G32" s="88">
        <f>E32-D32</f>
        <v>0</v>
      </c>
    </row>
    <row r="33" spans="1:7" ht="15">
      <c r="A33" s="34" t="s">
        <v>41</v>
      </c>
      <c r="B33" s="34" t="s">
        <v>43</v>
      </c>
      <c r="C33" s="103" t="s">
        <v>301</v>
      </c>
      <c r="D33" s="88">
        <v>657246.01</v>
      </c>
      <c r="E33" s="88">
        <v>654868.77</v>
      </c>
      <c r="F33" s="87">
        <f t="shared" si="1"/>
        <v>657246.01</v>
      </c>
      <c r="G33" s="88">
        <f>E33-D33</f>
        <v>-2377.2399999999907</v>
      </c>
    </row>
    <row r="34" spans="1:10" s="106" customFormat="1" ht="6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D13+D19+D24+D25+D26+D27+D28+D29-E19-E24-E25-E26-E27-E28-E29</f>
        <v>495145.98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16766.739999999998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14013.551199999998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="71" customFormat="1" ht="9" customHeight="1"/>
    <row r="41" spans="1:9" ht="23.25" customHeight="1">
      <c r="A41" s="321" t="s">
        <v>44</v>
      </c>
      <c r="B41" s="321"/>
      <c r="C41" s="321"/>
      <c r="D41" s="321"/>
      <c r="E41" s="321"/>
      <c r="F41" s="321"/>
      <c r="G41" s="321"/>
      <c r="H41" s="321"/>
      <c r="I41" s="321"/>
    </row>
    <row r="42" ht="6.75" customHeight="1"/>
    <row r="43" spans="1:7" s="179" customFormat="1" ht="28.5" customHeight="1">
      <c r="A43" s="109" t="s">
        <v>11</v>
      </c>
      <c r="B43" s="340" t="s">
        <v>45</v>
      </c>
      <c r="C43" s="352"/>
      <c r="D43" s="109" t="s">
        <v>172</v>
      </c>
      <c r="E43" s="109" t="s">
        <v>171</v>
      </c>
      <c r="F43" s="340" t="s">
        <v>46</v>
      </c>
      <c r="G43" s="351"/>
    </row>
    <row r="44" spans="1:7" s="119" customFormat="1" ht="13.5" customHeight="1">
      <c r="A44" s="113" t="s">
        <v>47</v>
      </c>
      <c r="B44" s="342" t="s">
        <v>114</v>
      </c>
      <c r="C44" s="345"/>
      <c r="D44" s="115"/>
      <c r="E44" s="115"/>
      <c r="F44" s="356">
        <f>SUM(F45:G47)</f>
        <v>14767.6188</v>
      </c>
      <c r="G44" s="351"/>
    </row>
    <row r="45" spans="1:7" s="119" customFormat="1" ht="13.5" customHeight="1">
      <c r="A45" s="34" t="s">
        <v>16</v>
      </c>
      <c r="B45" s="368" t="s">
        <v>341</v>
      </c>
      <c r="C45" s="369"/>
      <c r="D45" s="206" t="s">
        <v>173</v>
      </c>
      <c r="E45" s="206">
        <v>4</v>
      </c>
      <c r="F45" s="366">
        <v>8743</v>
      </c>
      <c r="G45" s="367"/>
    </row>
    <row r="46" spans="1:7" s="119" customFormat="1" ht="13.5" customHeight="1">
      <c r="A46" s="34" t="s">
        <v>18</v>
      </c>
      <c r="B46" s="325" t="s">
        <v>663</v>
      </c>
      <c r="C46" s="350"/>
      <c r="D46" s="206"/>
      <c r="E46" s="159" t="s">
        <v>286</v>
      </c>
      <c r="F46" s="344">
        <v>5600</v>
      </c>
      <c r="G46" s="344"/>
    </row>
    <row r="47" spans="1:7" ht="13.5" customHeight="1">
      <c r="A47" s="34" t="s">
        <v>20</v>
      </c>
      <c r="B47" s="368" t="s">
        <v>207</v>
      </c>
      <c r="C47" s="369"/>
      <c r="D47" s="130"/>
      <c r="E47" s="130"/>
      <c r="F47" s="366">
        <f>E27*1%</f>
        <v>424.61879999999996</v>
      </c>
      <c r="G47" s="367"/>
    </row>
    <row r="48" spans="1:7" ht="15.75" customHeight="1">
      <c r="A48" s="176"/>
      <c r="B48" s="97"/>
      <c r="C48" s="97"/>
      <c r="D48" s="97"/>
      <c r="E48" s="97"/>
      <c r="F48" s="192"/>
      <c r="G48" s="192"/>
    </row>
    <row r="49" spans="1:6" s="71" customFormat="1" ht="15">
      <c r="A49" s="71" t="s">
        <v>55</v>
      </c>
      <c r="C49" s="71" t="s">
        <v>49</v>
      </c>
      <c r="F49" s="71" t="s">
        <v>93</v>
      </c>
    </row>
    <row r="50" s="71" customFormat="1" ht="13.5" customHeight="1">
      <c r="F50" s="132" t="s">
        <v>296</v>
      </c>
    </row>
    <row r="51" s="71" customFormat="1" ht="21" customHeight="1">
      <c r="A51" s="71" t="s">
        <v>50</v>
      </c>
    </row>
    <row r="52" spans="3:7" s="71" customFormat="1" ht="15">
      <c r="C52" s="134" t="s">
        <v>51</v>
      </c>
      <c r="E52" s="134"/>
      <c r="F52" s="134"/>
      <c r="G52" s="134"/>
    </row>
    <row r="53" s="71" customFormat="1" ht="15"/>
    <row r="54" s="71" customFormat="1" ht="15"/>
  </sheetData>
  <sheetProtection/>
  <mergeCells count="20">
    <mergeCell ref="B46:C46"/>
    <mergeCell ref="F46:G46"/>
    <mergeCell ref="B43:C43"/>
    <mergeCell ref="B44:C44"/>
    <mergeCell ref="A1:I1"/>
    <mergeCell ref="A2:I2"/>
    <mergeCell ref="A5:I5"/>
    <mergeCell ref="A10:I10"/>
    <mergeCell ref="A3:K3"/>
    <mergeCell ref="A11:I11"/>
    <mergeCell ref="B45:C45"/>
    <mergeCell ref="F45:G45"/>
    <mergeCell ref="F47:G47"/>
    <mergeCell ref="B47:C47"/>
    <mergeCell ref="A13:C13"/>
    <mergeCell ref="A12:I12"/>
    <mergeCell ref="A35:C35"/>
    <mergeCell ref="A41:I41"/>
    <mergeCell ref="F43:G43"/>
    <mergeCell ref="F44:G44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"/>
  <sheetViews>
    <sheetView zoomScalePageLayoutView="0" workbookViewId="0" topLeftCell="A19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3.28125" style="35" customWidth="1"/>
    <col min="3" max="3" width="13.140625" style="35" customWidth="1"/>
    <col min="4" max="4" width="12.00390625" style="35" customWidth="1"/>
    <col min="5" max="5" width="12.57421875" style="35" customWidth="1"/>
    <col min="6" max="6" width="11.14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8515625" style="35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4.2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4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4.5" customHeight="1"/>
    <row r="7" spans="1:6" s="71" customFormat="1" ht="16.5" customHeight="1">
      <c r="A7" s="71" t="s">
        <v>2</v>
      </c>
      <c r="F7" s="132" t="s">
        <v>68</v>
      </c>
    </row>
    <row r="8" spans="1:6" s="71" customFormat="1" ht="15">
      <c r="A8" s="71" t="s">
        <v>3</v>
      </c>
      <c r="F8" s="132" t="s">
        <v>344</v>
      </c>
    </row>
    <row r="9" s="71" customFormat="1" ht="7.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57783.53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'[1]Чичерина 7а'!$G$37</f>
        <v>15584.92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'[1]Чичерина 7а'!$G$38</f>
        <v>53090.1169</v>
      </c>
      <c r="H16" s="66"/>
      <c r="I16" s="66"/>
    </row>
    <row r="17" s="71" customFormat="1" ht="9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175" customFormat="1" ht="28.5">
      <c r="A19" s="79" t="s">
        <v>14</v>
      </c>
      <c r="B19" s="41" t="s">
        <v>15</v>
      </c>
      <c r="C19" s="141">
        <f>C20+C21+C22+C23</f>
        <v>9.53</v>
      </c>
      <c r="D19" s="80">
        <v>159859.22</v>
      </c>
      <c r="E19" s="80">
        <v>151514.93</v>
      </c>
      <c r="F19" s="80">
        <f>D19</f>
        <v>159859.22</v>
      </c>
      <c r="G19" s="81">
        <f aca="true" t="shared" si="0" ref="G19:G28">E19-D19</f>
        <v>-8344.290000000008</v>
      </c>
      <c r="H19" s="174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56026.21141657922</v>
      </c>
      <c r="E20" s="87">
        <f>E19*I20</f>
        <v>53101.76980062958</v>
      </c>
      <c r="F20" s="87">
        <f>D20</f>
        <v>56026.21141657922</v>
      </c>
      <c r="G20" s="88">
        <f t="shared" si="0"/>
        <v>-2924.4416159496395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27342.133116474295</v>
      </c>
      <c r="E21" s="87">
        <f>E19*I21</f>
        <v>25914.9355613851</v>
      </c>
      <c r="F21" s="87">
        <f>D21</f>
        <v>27342.133116474295</v>
      </c>
      <c r="G21" s="88">
        <f t="shared" si="0"/>
        <v>-1427.1975550891948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27342.133116474295</v>
      </c>
      <c r="E22" s="87">
        <f>E19*I22</f>
        <v>25914.9355613851</v>
      </c>
      <c r="F22" s="87">
        <f>D22</f>
        <v>27342.133116474295</v>
      </c>
      <c r="G22" s="88">
        <f t="shared" si="0"/>
        <v>-1427.1975550891948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49148.7423504722</v>
      </c>
      <c r="E23" s="87">
        <f>E19*I23</f>
        <v>46583.28907660022</v>
      </c>
      <c r="F23" s="87">
        <f>D23</f>
        <v>49148.7423504722</v>
      </c>
      <c r="G23" s="88">
        <f t="shared" si="0"/>
        <v>-2565.4532738719863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26</v>
      </c>
      <c r="C24" s="101">
        <v>0</v>
      </c>
      <c r="D24" s="81">
        <v>0</v>
      </c>
      <c r="E24" s="81">
        <v>0</v>
      </c>
      <c r="F24" s="80">
        <f aca="true" t="shared" si="1" ref="F24:F33">D24</f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170</v>
      </c>
      <c r="C26" s="147">
        <v>0</v>
      </c>
      <c r="D26" s="81">
        <v>0</v>
      </c>
      <c r="E26" s="81">
        <v>0</v>
      </c>
      <c r="F26" s="80">
        <f t="shared" si="1"/>
        <v>0</v>
      </c>
      <c r="G26" s="81">
        <f t="shared" si="0"/>
        <v>0</v>
      </c>
    </row>
    <row r="27" spans="1:7" s="39" customFormat="1" ht="14.25">
      <c r="A27" s="41" t="s">
        <v>31</v>
      </c>
      <c r="B27" s="146" t="s">
        <v>119</v>
      </c>
      <c r="C27" s="101">
        <v>1.8</v>
      </c>
      <c r="D27" s="81">
        <v>27699.84</v>
      </c>
      <c r="E27" s="81">
        <v>28817.36</v>
      </c>
      <c r="F27" s="80">
        <f>F43</f>
        <v>26649.0736</v>
      </c>
      <c r="G27" s="81">
        <f t="shared" si="0"/>
        <v>1117.5200000000004</v>
      </c>
    </row>
    <row r="28" spans="1:7" s="39" customFormat="1" ht="14.25">
      <c r="A28" s="41" t="s">
        <v>33</v>
      </c>
      <c r="B28" s="140" t="s">
        <v>34</v>
      </c>
      <c r="C28" s="46">
        <v>0</v>
      </c>
      <c r="D28" s="81">
        <v>0</v>
      </c>
      <c r="E28" s="81">
        <v>1.63</v>
      </c>
      <c r="F28" s="80">
        <f>D28</f>
        <v>0</v>
      </c>
      <c r="G28" s="81">
        <f t="shared" si="0"/>
        <v>1.63</v>
      </c>
    </row>
    <row r="29" spans="1:7" s="39" customFormat="1" ht="14.25">
      <c r="A29" s="41" t="s">
        <v>35</v>
      </c>
      <c r="B29" s="140" t="s">
        <v>36</v>
      </c>
      <c r="C29" s="101"/>
      <c r="D29" s="81">
        <f>SUM(D30:D33)</f>
        <v>529554.72</v>
      </c>
      <c r="E29" s="81">
        <f>SUM(E30:E33)</f>
        <v>563225.44</v>
      </c>
      <c r="F29" s="80">
        <f t="shared" si="1"/>
        <v>529554.72</v>
      </c>
      <c r="G29" s="81">
        <f>SUM(G30:G33)</f>
        <v>33670.71999999997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6575.52</v>
      </c>
      <c r="E30" s="88">
        <v>6839.71</v>
      </c>
      <c r="F30" s="87">
        <f>D30</f>
        <v>6575.52</v>
      </c>
      <c r="G30" s="88">
        <f>E30-D30</f>
        <v>264.1899999999996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149958.8</v>
      </c>
      <c r="E31" s="88">
        <v>159558.8</v>
      </c>
      <c r="F31" s="87">
        <f t="shared" si="1"/>
        <v>149958.8</v>
      </c>
      <c r="G31" s="88">
        <f>E31-D31</f>
        <v>9600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7">
        <f t="shared" si="1"/>
        <v>0</v>
      </c>
      <c r="G32" s="88">
        <f>E32-D32</f>
        <v>0</v>
      </c>
    </row>
    <row r="33" spans="1:7" ht="15">
      <c r="A33" s="34" t="s">
        <v>41</v>
      </c>
      <c r="B33" s="34" t="s">
        <v>43</v>
      </c>
      <c r="C33" s="103" t="s">
        <v>301</v>
      </c>
      <c r="D33" s="88">
        <v>373020.4</v>
      </c>
      <c r="E33" s="88">
        <v>396826.93</v>
      </c>
      <c r="F33" s="87">
        <f t="shared" si="1"/>
        <v>373020.4</v>
      </c>
      <c r="G33" s="88">
        <f>E33-D33</f>
        <v>23806.52999999997</v>
      </c>
    </row>
    <row r="34" spans="1:10" s="106" customFormat="1" ht="6.75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151">
        <f>D13+D19+D24+D25+D26+D27+D28+D29-E19-E24-E25-E26-E27-E28-E29</f>
        <v>31337.949999999953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15586.55</v>
      </c>
      <c r="H37" s="66"/>
      <c r="I37" s="66"/>
    </row>
    <row r="38" spans="1:13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55258.403300000005</v>
      </c>
      <c r="H38" s="66"/>
      <c r="I38" s="66"/>
      <c r="M38" s="152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ht="26.25" customHeight="1">
      <c r="A40" s="321" t="s">
        <v>44</v>
      </c>
      <c r="B40" s="321"/>
      <c r="C40" s="321"/>
      <c r="D40" s="321"/>
      <c r="E40" s="321"/>
      <c r="F40" s="321"/>
      <c r="G40" s="321"/>
      <c r="H40" s="321"/>
      <c r="I40" s="321"/>
    </row>
    <row r="41" ht="6" customHeight="1"/>
    <row r="42" spans="1:7" s="179" customFormat="1" ht="28.5" customHeight="1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1"/>
    </row>
    <row r="43" spans="1:7" s="119" customFormat="1" ht="12.75" customHeight="1">
      <c r="A43" s="113" t="s">
        <v>47</v>
      </c>
      <c r="B43" s="342" t="s">
        <v>114</v>
      </c>
      <c r="C43" s="345"/>
      <c r="D43" s="115"/>
      <c r="E43" s="115"/>
      <c r="F43" s="356">
        <f>SUM(F44:L46)</f>
        <v>26649.0736</v>
      </c>
      <c r="G43" s="351"/>
    </row>
    <row r="44" spans="1:7" s="119" customFormat="1" ht="12.75" customHeight="1">
      <c r="A44" s="34" t="s">
        <v>16</v>
      </c>
      <c r="B44" s="207" t="s">
        <v>345</v>
      </c>
      <c r="C44" s="114"/>
      <c r="D44" s="206" t="s">
        <v>176</v>
      </c>
      <c r="E44" s="206">
        <v>9</v>
      </c>
      <c r="F44" s="355">
        <v>21880.9</v>
      </c>
      <c r="G44" s="355"/>
    </row>
    <row r="45" spans="1:7" s="119" customFormat="1" ht="12.75" customHeight="1">
      <c r="A45" s="34" t="s">
        <v>18</v>
      </c>
      <c r="B45" s="325" t="s">
        <v>663</v>
      </c>
      <c r="C45" s="350"/>
      <c r="D45" s="206"/>
      <c r="E45" s="159" t="s">
        <v>286</v>
      </c>
      <c r="F45" s="344">
        <v>4480</v>
      </c>
      <c r="G45" s="344"/>
    </row>
    <row r="46" spans="1:7" ht="12.75" customHeight="1">
      <c r="A46" s="34" t="s">
        <v>20</v>
      </c>
      <c r="B46" s="325" t="s">
        <v>207</v>
      </c>
      <c r="C46" s="327"/>
      <c r="D46" s="123"/>
      <c r="E46" s="123"/>
      <c r="F46" s="355">
        <f>E27*1%</f>
        <v>288.1736</v>
      </c>
      <c r="G46" s="355"/>
    </row>
    <row r="47" spans="1:7" s="71" customFormat="1" ht="13.5" customHeight="1">
      <c r="A47" s="176"/>
      <c r="B47" s="191"/>
      <c r="C47" s="191"/>
      <c r="D47" s="191"/>
      <c r="E47" s="191"/>
      <c r="F47" s="192"/>
      <c r="G47" s="192"/>
    </row>
    <row r="48" spans="1:6" s="71" customFormat="1" ht="15">
      <c r="A48" s="71" t="s">
        <v>55</v>
      </c>
      <c r="C48" s="71" t="s">
        <v>49</v>
      </c>
      <c r="F48" s="71" t="s">
        <v>93</v>
      </c>
    </row>
    <row r="49" s="71" customFormat="1" ht="15">
      <c r="F49" s="132" t="s">
        <v>296</v>
      </c>
    </row>
    <row r="50" s="71" customFormat="1" ht="15">
      <c r="A50" s="71" t="s">
        <v>50</v>
      </c>
    </row>
    <row r="51" spans="1:7" ht="15">
      <c r="A51" s="71"/>
      <c r="B51" s="71"/>
      <c r="C51" s="134" t="s">
        <v>51</v>
      </c>
      <c r="D51" s="71"/>
      <c r="E51" s="134"/>
      <c r="F51" s="134"/>
      <c r="G51" s="134"/>
    </row>
    <row r="52" spans="1:7" ht="15">
      <c r="A52" s="71"/>
      <c r="B52" s="71"/>
      <c r="C52" s="71"/>
      <c r="D52" s="71"/>
      <c r="E52" s="71"/>
      <c r="F52" s="71"/>
      <c r="G52" s="71"/>
    </row>
    <row r="53" spans="1:7" ht="15">
      <c r="A53" s="71"/>
      <c r="B53" s="71"/>
      <c r="C53" s="71"/>
      <c r="D53" s="71"/>
      <c r="E53" s="71"/>
      <c r="F53" s="71"/>
      <c r="G53" s="71"/>
    </row>
  </sheetData>
  <sheetProtection/>
  <mergeCells count="19">
    <mergeCell ref="B45:C45"/>
    <mergeCell ref="F45:G45"/>
    <mergeCell ref="F44:G44"/>
    <mergeCell ref="F43:G43"/>
    <mergeCell ref="A13:C13"/>
    <mergeCell ref="B42:C42"/>
    <mergeCell ref="B43:C43"/>
    <mergeCell ref="A35:C35"/>
    <mergeCell ref="F42:G42"/>
    <mergeCell ref="F46:G46"/>
    <mergeCell ref="B46:C46"/>
    <mergeCell ref="A1:I1"/>
    <mergeCell ref="A2:I2"/>
    <mergeCell ref="A5:I5"/>
    <mergeCell ref="A10:I10"/>
    <mergeCell ref="A3:K3"/>
    <mergeCell ref="A11:I11"/>
    <mergeCell ref="A12:I12"/>
    <mergeCell ref="A40:I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1:K51"/>
  <sheetViews>
    <sheetView zoomScalePageLayoutView="0" workbookViewId="0" topLeftCell="A23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0.28125" style="35" customWidth="1"/>
    <col min="3" max="3" width="13.00390625" style="35" customWidth="1"/>
    <col min="4" max="4" width="13.421875" style="35" customWidth="1"/>
    <col min="5" max="5" width="12.7109375" style="35" customWidth="1"/>
    <col min="6" max="6" width="12.42187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2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2.7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7.5" customHeight="1"/>
    <row r="7" spans="1:6" s="71" customFormat="1" ht="16.5" customHeight="1">
      <c r="A7" s="71" t="s">
        <v>2</v>
      </c>
      <c r="F7" s="132" t="s">
        <v>69</v>
      </c>
    </row>
    <row r="8" spans="1:6" s="71" customFormat="1" ht="15">
      <c r="A8" s="71" t="s">
        <v>3</v>
      </c>
      <c r="F8" s="132" t="s">
        <v>596</v>
      </c>
    </row>
    <row r="9" s="71" customFormat="1" ht="9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64065.87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'[1]Чичерина 8'!$G$37</f>
        <v>-64908.700000000004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'[1]Чичерина 8'!$G$38</f>
        <v>56568.616500000004</v>
      </c>
      <c r="H16" s="66"/>
      <c r="I16" s="66"/>
    </row>
    <row r="17" s="71" customFormat="1" ht="9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175" customFormat="1" ht="29.25">
      <c r="A19" s="79" t="s">
        <v>14</v>
      </c>
      <c r="B19" s="41" t="s">
        <v>15</v>
      </c>
      <c r="C19" s="141">
        <f>C20+C21+C22+C23</f>
        <v>9.53</v>
      </c>
      <c r="D19" s="80">
        <v>211787.71</v>
      </c>
      <c r="E19" s="80">
        <v>194535.55</v>
      </c>
      <c r="F19" s="80">
        <f>D19</f>
        <v>211787.71</v>
      </c>
      <c r="G19" s="81">
        <f aca="true" t="shared" si="0" ref="G19:G28">E19-D19</f>
        <v>-17252.160000000003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74225.70318992654</v>
      </c>
      <c r="E20" s="87">
        <f>E19*I20</f>
        <v>68179.30083945434</v>
      </c>
      <c r="F20" s="87">
        <f>D20</f>
        <v>74225.70318992654</v>
      </c>
      <c r="G20" s="88">
        <f t="shared" si="0"/>
        <v>-6046.402350472199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36223.92101783841</v>
      </c>
      <c r="E21" s="87">
        <f>E19*I21</f>
        <v>33273.13184679958</v>
      </c>
      <c r="F21" s="87">
        <f>D21</f>
        <v>36223.92101783841</v>
      </c>
      <c r="G21" s="88">
        <f t="shared" si="0"/>
        <v>-2950.7891710388285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36223.92101783841</v>
      </c>
      <c r="E22" s="87">
        <f>E19*I22</f>
        <v>33273.13184679958</v>
      </c>
      <c r="F22" s="87">
        <f>D22</f>
        <v>36223.92101783841</v>
      </c>
      <c r="G22" s="88">
        <f t="shared" si="0"/>
        <v>-2950.7891710388285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65114.16477439665</v>
      </c>
      <c r="E23" s="87">
        <f>E19*I23</f>
        <v>59809.98546694649</v>
      </c>
      <c r="F23" s="87">
        <f>D23</f>
        <v>65114.16477439665</v>
      </c>
      <c r="G23" s="88">
        <f t="shared" si="0"/>
        <v>-5304.179307450162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26</v>
      </c>
      <c r="C24" s="101">
        <v>0</v>
      </c>
      <c r="D24" s="81">
        <v>0</v>
      </c>
      <c r="E24" s="81">
        <v>0</v>
      </c>
      <c r="F24" s="80">
        <f aca="true" t="shared" si="1" ref="F24:F33">D24</f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170</v>
      </c>
      <c r="C26" s="147">
        <v>1902.11</v>
      </c>
      <c r="D26" s="81">
        <v>0</v>
      </c>
      <c r="E26" s="81">
        <v>0</v>
      </c>
      <c r="F26" s="80">
        <f t="shared" si="1"/>
        <v>0</v>
      </c>
      <c r="G26" s="81">
        <f t="shared" si="0"/>
        <v>0</v>
      </c>
    </row>
    <row r="27" spans="1:7" s="39" customFormat="1" ht="14.25">
      <c r="A27" s="41" t="s">
        <v>31</v>
      </c>
      <c r="B27" s="146" t="s">
        <v>119</v>
      </c>
      <c r="C27" s="101">
        <v>1.8</v>
      </c>
      <c r="D27" s="81">
        <v>37596.96</v>
      </c>
      <c r="E27" s="81">
        <v>36623.27</v>
      </c>
      <c r="F27" s="80">
        <f>F43</f>
        <v>39846.2327</v>
      </c>
      <c r="G27" s="81">
        <f t="shared" si="0"/>
        <v>-973.6900000000023</v>
      </c>
    </row>
    <row r="28" spans="1:7" s="39" customFormat="1" ht="14.25">
      <c r="A28" s="41" t="s">
        <v>33</v>
      </c>
      <c r="B28" s="140" t="s">
        <v>34</v>
      </c>
      <c r="C28" s="46">
        <v>0</v>
      </c>
      <c r="D28" s="81">
        <v>0</v>
      </c>
      <c r="E28" s="81"/>
      <c r="F28" s="80">
        <f>D28</f>
        <v>0</v>
      </c>
      <c r="G28" s="81">
        <f t="shared" si="0"/>
        <v>0</v>
      </c>
    </row>
    <row r="29" spans="1:7" s="39" customFormat="1" ht="14.25">
      <c r="A29" s="41" t="s">
        <v>35</v>
      </c>
      <c r="B29" s="140" t="s">
        <v>36</v>
      </c>
      <c r="C29" s="101"/>
      <c r="D29" s="81">
        <f>SUM(D30:D33)</f>
        <v>604992.98</v>
      </c>
      <c r="E29" s="81">
        <f>SUM(E30:E33)</f>
        <v>580079.21</v>
      </c>
      <c r="F29" s="80">
        <f t="shared" si="1"/>
        <v>604992.98</v>
      </c>
      <c r="G29" s="81">
        <f>SUM(G30:G33)</f>
        <v>-24913.76999999998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18166.35</v>
      </c>
      <c r="E30" s="88">
        <v>17822.56</v>
      </c>
      <c r="F30" s="87">
        <f>D30</f>
        <v>18166.35</v>
      </c>
      <c r="G30" s="88">
        <f>E30-D30</f>
        <v>-343.78999999999724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186426.78</v>
      </c>
      <c r="E31" s="88">
        <v>170135.85</v>
      </c>
      <c r="F31" s="87">
        <f t="shared" si="1"/>
        <v>186426.78</v>
      </c>
      <c r="G31" s="88">
        <f>E31-D31</f>
        <v>-16290.929999999993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7">
        <f t="shared" si="1"/>
        <v>0</v>
      </c>
      <c r="G32" s="88">
        <f>E32-D32</f>
        <v>0</v>
      </c>
    </row>
    <row r="33" spans="1:7" ht="15">
      <c r="A33" s="34" t="s">
        <v>41</v>
      </c>
      <c r="B33" s="34" t="s">
        <v>43</v>
      </c>
      <c r="C33" s="103" t="s">
        <v>301</v>
      </c>
      <c r="D33" s="88">
        <v>400399.85</v>
      </c>
      <c r="E33" s="88">
        <v>392120.8</v>
      </c>
      <c r="F33" s="87">
        <f t="shared" si="1"/>
        <v>400399.85</v>
      </c>
      <c r="G33" s="88">
        <f>E33-D33</f>
        <v>-8279.049999999988</v>
      </c>
    </row>
    <row r="34" spans="1:10" s="106" customFormat="1" ht="7.5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D13+D19+D24+D25+D26+D27+D28+D29-E19-E24-E25-E26-E27-E28-E29</f>
        <v>107205.48999999999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-64908.700000000004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53345.65379999999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ht="25.5" customHeight="1">
      <c r="A40" s="321" t="s">
        <v>44</v>
      </c>
      <c r="B40" s="321"/>
      <c r="C40" s="321"/>
      <c r="D40" s="321"/>
      <c r="E40" s="321"/>
      <c r="F40" s="321"/>
      <c r="G40" s="321"/>
      <c r="H40" s="321"/>
      <c r="I40" s="321"/>
    </row>
    <row r="41" ht="5.25" customHeight="1"/>
    <row r="42" spans="1:7" s="179" customFormat="1" ht="28.5" customHeight="1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1"/>
    </row>
    <row r="43" spans="1:7" s="119" customFormat="1" ht="12" customHeight="1">
      <c r="A43" s="113" t="s">
        <v>47</v>
      </c>
      <c r="B43" s="342" t="s">
        <v>114</v>
      </c>
      <c r="C43" s="345"/>
      <c r="D43" s="115"/>
      <c r="E43" s="115"/>
      <c r="F43" s="356">
        <f>SUM(F44:G46)</f>
        <v>39846.2327</v>
      </c>
      <c r="G43" s="351"/>
    </row>
    <row r="44" spans="1:7" s="119" customFormat="1" ht="12" customHeight="1">
      <c r="A44" s="34" t="s">
        <v>16</v>
      </c>
      <c r="B44" s="325" t="s">
        <v>650</v>
      </c>
      <c r="C44" s="327"/>
      <c r="D44" s="115" t="s">
        <v>173</v>
      </c>
      <c r="E44" s="115">
        <v>1</v>
      </c>
      <c r="F44" s="370">
        <v>35000</v>
      </c>
      <c r="G44" s="371"/>
    </row>
    <row r="45" spans="1:7" s="119" customFormat="1" ht="12" customHeight="1">
      <c r="A45" s="34" t="s">
        <v>18</v>
      </c>
      <c r="B45" s="325" t="s">
        <v>663</v>
      </c>
      <c r="C45" s="350"/>
      <c r="D45" s="115"/>
      <c r="E45" s="159" t="s">
        <v>286</v>
      </c>
      <c r="F45" s="344">
        <v>4480</v>
      </c>
      <c r="G45" s="344"/>
    </row>
    <row r="46" spans="1:7" ht="14.25" customHeight="1">
      <c r="A46" s="34" t="s">
        <v>20</v>
      </c>
      <c r="B46" s="325" t="s">
        <v>207</v>
      </c>
      <c r="C46" s="327"/>
      <c r="D46" s="123"/>
      <c r="E46" s="123"/>
      <c r="F46" s="370">
        <f>E27*1%</f>
        <v>366.23269999999997</v>
      </c>
      <c r="G46" s="371"/>
    </row>
    <row r="47" spans="2:5" ht="15">
      <c r="B47" s="162"/>
      <c r="C47" s="162"/>
      <c r="D47" s="162"/>
      <c r="E47" s="162"/>
    </row>
    <row r="48" spans="1:6" s="71" customFormat="1" ht="15">
      <c r="A48" s="71" t="s">
        <v>55</v>
      </c>
      <c r="C48" s="71" t="s">
        <v>49</v>
      </c>
      <c r="F48" s="71" t="s">
        <v>93</v>
      </c>
    </row>
    <row r="49" s="71" customFormat="1" ht="13.5" customHeight="1">
      <c r="F49" s="132" t="s">
        <v>296</v>
      </c>
    </row>
    <row r="50" s="71" customFormat="1" ht="15">
      <c r="A50" s="71" t="s">
        <v>50</v>
      </c>
    </row>
    <row r="51" spans="3:7" s="71" customFormat="1" ht="15">
      <c r="C51" s="134" t="s">
        <v>51</v>
      </c>
      <c r="E51" s="134"/>
      <c r="F51" s="134"/>
      <c r="G51" s="134"/>
    </row>
    <row r="52" s="71" customFormat="1" ht="15"/>
    <row r="53" s="71" customFormat="1" ht="15"/>
  </sheetData>
  <sheetProtection/>
  <mergeCells count="20">
    <mergeCell ref="F44:G44"/>
    <mergeCell ref="F42:G42"/>
    <mergeCell ref="A35:C35"/>
    <mergeCell ref="B45:C45"/>
    <mergeCell ref="F45:G45"/>
    <mergeCell ref="A11:I11"/>
    <mergeCell ref="A40:I40"/>
    <mergeCell ref="A13:C13"/>
    <mergeCell ref="A12:I12"/>
    <mergeCell ref="F43:G43"/>
    <mergeCell ref="F46:G46"/>
    <mergeCell ref="B46:C46"/>
    <mergeCell ref="B42:C42"/>
    <mergeCell ref="B43:C43"/>
    <mergeCell ref="A1:I1"/>
    <mergeCell ref="A2:I2"/>
    <mergeCell ref="A5:I5"/>
    <mergeCell ref="A10:I10"/>
    <mergeCell ref="A3:K3"/>
    <mergeCell ref="B44:C44"/>
  </mergeCells>
  <printOptions/>
  <pageMargins left="0" right="0" top="0" bottom="0" header="0.31496062992125984" footer="0.31496062992125984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4"/>
  <sheetViews>
    <sheetView zoomScalePageLayoutView="0" workbookViewId="0" topLeftCell="A25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28125" style="35" customWidth="1"/>
    <col min="4" max="5" width="13.140625" style="35" bestFit="1" customWidth="1"/>
    <col min="6" max="6" width="14.00390625" style="35" customWidth="1"/>
    <col min="7" max="7" width="13.57421875" style="35" customWidth="1"/>
    <col min="8" max="8" width="10.8515625" style="35" hidden="1" customWidth="1" outlineLevel="1"/>
    <col min="9" max="9" width="13.28125" style="35" hidden="1" customWidth="1" outlineLevel="1"/>
    <col min="10" max="12" width="9.140625" style="35" hidden="1" customWidth="1" outlineLevel="1"/>
    <col min="13" max="13" width="10.140625" style="35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7.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6" customHeight="1"/>
    <row r="7" spans="1:6" s="71" customFormat="1" ht="16.5" customHeight="1">
      <c r="A7" s="71" t="s">
        <v>2</v>
      </c>
      <c r="F7" s="132" t="s">
        <v>128</v>
      </c>
    </row>
    <row r="8" spans="1:6" s="71" customFormat="1" ht="15">
      <c r="A8" s="71" t="s">
        <v>3</v>
      </c>
      <c r="F8" s="132" t="s">
        <v>348</v>
      </c>
    </row>
    <row r="9" s="71" customFormat="1" ht="6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308952.52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'[1]Чичерина 16 к. 1'!$G$37</f>
        <v>-5989.219999999999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'[1]Чичерина 16 к. 1'!$G$38</f>
        <v>-385922.02150000003</v>
      </c>
      <c r="H16" s="66"/>
      <c r="I16" s="66"/>
    </row>
    <row r="17" s="71" customFormat="1" ht="8.2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175" customFormat="1" ht="28.5">
      <c r="A19" s="79" t="s">
        <v>14</v>
      </c>
      <c r="B19" s="41" t="s">
        <v>15</v>
      </c>
      <c r="C19" s="141">
        <f>C20+C21+C22+C23</f>
        <v>9.53</v>
      </c>
      <c r="D19" s="80">
        <v>403135.59</v>
      </c>
      <c r="E19" s="80">
        <v>384597.76</v>
      </c>
      <c r="F19" s="80">
        <f>D19</f>
        <v>403135.59</v>
      </c>
      <c r="G19" s="81">
        <f aca="true" t="shared" si="0" ref="G19:G28">E19-D19</f>
        <v>-18537.830000000016</v>
      </c>
      <c r="H19" s="174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141287.8143336831</v>
      </c>
      <c r="E20" s="87">
        <f>E19*I20</f>
        <v>134790.82039874082</v>
      </c>
      <c r="F20" s="87">
        <f>D20</f>
        <v>141287.8143336831</v>
      </c>
      <c r="G20" s="88">
        <f t="shared" si="0"/>
        <v>-6496.993934942293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68951.83753410284</v>
      </c>
      <c r="E21" s="87">
        <f>E19*I21</f>
        <v>65781.1488772298</v>
      </c>
      <c r="F21" s="87">
        <f>D21</f>
        <v>68951.83753410284</v>
      </c>
      <c r="G21" s="88">
        <f t="shared" si="0"/>
        <v>-3170.6886568730406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68951.83753410284</v>
      </c>
      <c r="E22" s="87">
        <f>E19*I22</f>
        <v>65781.1488772298</v>
      </c>
      <c r="F22" s="87">
        <f>D22</f>
        <v>68951.83753410284</v>
      </c>
      <c r="G22" s="88">
        <f t="shared" si="0"/>
        <v>-3170.6886568730406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123944.10059811125</v>
      </c>
      <c r="E23" s="87">
        <f>E19*I23</f>
        <v>118244.6418467996</v>
      </c>
      <c r="F23" s="87">
        <f>D23</f>
        <v>123944.10059811125</v>
      </c>
      <c r="G23" s="88">
        <f t="shared" si="0"/>
        <v>-5699.458751311657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26</v>
      </c>
      <c r="C24" s="101">
        <v>0</v>
      </c>
      <c r="D24" s="81">
        <v>0</v>
      </c>
      <c r="E24" s="81">
        <v>0</v>
      </c>
      <c r="F24" s="80">
        <f aca="true" t="shared" si="1" ref="F24:F33">D24</f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170</v>
      </c>
      <c r="C26" s="147" t="s">
        <v>307</v>
      </c>
      <c r="D26" s="81">
        <v>0</v>
      </c>
      <c r="E26" s="81">
        <v>0</v>
      </c>
      <c r="F26" s="80">
        <f t="shared" si="1"/>
        <v>0</v>
      </c>
      <c r="G26" s="81">
        <f t="shared" si="0"/>
        <v>0</v>
      </c>
    </row>
    <row r="27" spans="1:13" s="39" customFormat="1" ht="14.25">
      <c r="A27" s="41" t="s">
        <v>31</v>
      </c>
      <c r="B27" s="146" t="s">
        <v>119</v>
      </c>
      <c r="C27" s="101">
        <v>1.8</v>
      </c>
      <c r="D27" s="81">
        <v>73651.68</v>
      </c>
      <c r="E27" s="81">
        <v>73002.46</v>
      </c>
      <c r="F27" s="80">
        <f>F43</f>
        <v>67507.4646</v>
      </c>
      <c r="G27" s="81">
        <f>E27-D27</f>
        <v>-649.2199999999866</v>
      </c>
      <c r="M27" s="193"/>
    </row>
    <row r="28" spans="1:7" s="39" customFormat="1" ht="14.25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80">
        <f>D28</f>
        <v>0</v>
      </c>
      <c r="G28" s="81">
        <f t="shared" si="0"/>
        <v>0</v>
      </c>
    </row>
    <row r="29" spans="1:7" s="39" customFormat="1" ht="14.25">
      <c r="A29" s="41" t="s">
        <v>35</v>
      </c>
      <c r="B29" s="140" t="s">
        <v>36</v>
      </c>
      <c r="C29" s="101"/>
      <c r="D29" s="81">
        <f>SUM(D30:D33)</f>
        <v>1417522.29</v>
      </c>
      <c r="E29" s="81">
        <f>SUM(E30:E33)</f>
        <v>1390465.51</v>
      </c>
      <c r="F29" s="80">
        <f t="shared" si="1"/>
        <v>1417522.29</v>
      </c>
      <c r="G29" s="81">
        <f>SUM(G30:G33)</f>
        <v>-27056.780000000083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28826.36</v>
      </c>
      <c r="E30" s="88">
        <v>28571.48</v>
      </c>
      <c r="F30" s="87">
        <f>D30</f>
        <v>28826.36</v>
      </c>
      <c r="G30" s="88">
        <f>E30-D30</f>
        <v>-254.88000000000102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516005.53</v>
      </c>
      <c r="E31" s="88">
        <v>496057.95</v>
      </c>
      <c r="F31" s="87">
        <f t="shared" si="1"/>
        <v>516005.53</v>
      </c>
      <c r="G31" s="88">
        <f>E31-D31</f>
        <v>-19947.580000000016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7">
        <f t="shared" si="1"/>
        <v>0</v>
      </c>
      <c r="G32" s="88">
        <f>E32-D32</f>
        <v>0</v>
      </c>
    </row>
    <row r="33" spans="1:7" ht="15">
      <c r="A33" s="34" t="s">
        <v>41</v>
      </c>
      <c r="B33" s="34" t="s">
        <v>43</v>
      </c>
      <c r="C33" s="103" t="s">
        <v>301</v>
      </c>
      <c r="D33" s="88">
        <v>872690.4</v>
      </c>
      <c r="E33" s="88">
        <v>865836.08</v>
      </c>
      <c r="F33" s="87">
        <f t="shared" si="1"/>
        <v>872690.4</v>
      </c>
      <c r="G33" s="88">
        <f>E33-D33</f>
        <v>-6854.320000000065</v>
      </c>
    </row>
    <row r="34" spans="1:10" s="106" customFormat="1" ht="6.75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D19+D24+D25+D26+D27+D28+D29+D13-E24-E25-E26-E27-E28-E29-E19</f>
        <v>355196.3500000001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-5989.219999999999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-380427.0261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ht="28.5" customHeight="1">
      <c r="A40" s="372" t="s">
        <v>44</v>
      </c>
      <c r="B40" s="372"/>
      <c r="C40" s="372"/>
      <c r="D40" s="372"/>
      <c r="E40" s="372"/>
      <c r="F40" s="372"/>
      <c r="G40" s="372"/>
      <c r="H40" s="372"/>
      <c r="I40" s="372"/>
    </row>
    <row r="41" ht="5.25" customHeight="1"/>
    <row r="42" spans="1:7" s="179" customFormat="1" ht="28.5" customHeight="1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</row>
    <row r="43" spans="1:7" s="119" customFormat="1" ht="12.75" customHeight="1">
      <c r="A43" s="113" t="s">
        <v>47</v>
      </c>
      <c r="B43" s="342" t="s">
        <v>114</v>
      </c>
      <c r="C43" s="345"/>
      <c r="D43" s="115"/>
      <c r="E43" s="115"/>
      <c r="F43" s="356">
        <f>SUM(F44:G48)</f>
        <v>67507.4646</v>
      </c>
      <c r="G43" s="351"/>
    </row>
    <row r="44" spans="1:7" ht="12.75" customHeight="1">
      <c r="A44" s="34" t="s">
        <v>16</v>
      </c>
      <c r="B44" s="325" t="s">
        <v>347</v>
      </c>
      <c r="C44" s="327"/>
      <c r="D44" s="123" t="s">
        <v>261</v>
      </c>
      <c r="E44" s="208">
        <v>0.12</v>
      </c>
      <c r="F44" s="366">
        <v>12533.44</v>
      </c>
      <c r="G44" s="367"/>
    </row>
    <row r="45" spans="1:7" ht="12.75" customHeight="1">
      <c r="A45" s="34" t="s">
        <v>18</v>
      </c>
      <c r="B45" s="325" t="s">
        <v>628</v>
      </c>
      <c r="C45" s="327"/>
      <c r="D45" s="123" t="s">
        <v>352</v>
      </c>
      <c r="E45" s="126">
        <v>0.313</v>
      </c>
      <c r="F45" s="355">
        <v>9444</v>
      </c>
      <c r="G45" s="355"/>
    </row>
    <row r="46" spans="1:7" ht="12.75" customHeight="1">
      <c r="A46" s="34" t="s">
        <v>20</v>
      </c>
      <c r="B46" s="325" t="s">
        <v>663</v>
      </c>
      <c r="C46" s="350"/>
      <c r="D46" s="123"/>
      <c r="E46" s="159" t="s">
        <v>286</v>
      </c>
      <c r="F46" s="344">
        <v>9800</v>
      </c>
      <c r="G46" s="344"/>
    </row>
    <row r="47" spans="1:7" ht="12.75" customHeight="1">
      <c r="A47" s="34" t="s">
        <v>22</v>
      </c>
      <c r="B47" s="325" t="s">
        <v>650</v>
      </c>
      <c r="C47" s="350"/>
      <c r="D47" s="123"/>
      <c r="E47" s="159"/>
      <c r="F47" s="344">
        <v>35000</v>
      </c>
      <c r="G47" s="344"/>
    </row>
    <row r="48" spans="1:7" ht="13.5" customHeight="1">
      <c r="A48" s="34" t="s">
        <v>24</v>
      </c>
      <c r="B48" s="364" t="s">
        <v>207</v>
      </c>
      <c r="C48" s="365"/>
      <c r="D48" s="130"/>
      <c r="E48" s="130"/>
      <c r="F48" s="366">
        <f>E27*1%</f>
        <v>730.0246000000001</v>
      </c>
      <c r="G48" s="367"/>
    </row>
    <row r="49" spans="1:7" ht="13.5" customHeight="1">
      <c r="A49" s="176"/>
      <c r="B49" s="97"/>
      <c r="C49" s="97"/>
      <c r="D49" s="97"/>
      <c r="E49" s="97"/>
      <c r="F49" s="192"/>
      <c r="G49" s="192"/>
    </row>
    <row r="50" s="71" customFormat="1" ht="15"/>
    <row r="51" spans="1:6" s="71" customFormat="1" ht="15" customHeight="1">
      <c r="A51" s="71" t="s">
        <v>55</v>
      </c>
      <c r="C51" s="71" t="s">
        <v>49</v>
      </c>
      <c r="F51" s="71" t="s">
        <v>93</v>
      </c>
    </row>
    <row r="52" s="71" customFormat="1" ht="13.5" customHeight="1">
      <c r="F52" s="132" t="s">
        <v>296</v>
      </c>
    </row>
    <row r="53" s="71" customFormat="1" ht="15">
      <c r="A53" s="71" t="s">
        <v>50</v>
      </c>
    </row>
    <row r="54" spans="3:7" s="71" customFormat="1" ht="11.25" customHeight="1">
      <c r="C54" s="134" t="s">
        <v>51</v>
      </c>
      <c r="E54" s="134"/>
      <c r="F54" s="134"/>
      <c r="G54" s="134"/>
    </row>
    <row r="55" s="71" customFormat="1" ht="15"/>
    <row r="56" s="71" customFormat="1" ht="15"/>
  </sheetData>
  <sheetProtection/>
  <mergeCells count="24">
    <mergeCell ref="A1:I1"/>
    <mergeCell ref="A2:I2"/>
    <mergeCell ref="A5:I5"/>
    <mergeCell ref="A10:I10"/>
    <mergeCell ref="A3:K3"/>
    <mergeCell ref="A11:I11"/>
    <mergeCell ref="F46:G46"/>
    <mergeCell ref="A12:I12"/>
    <mergeCell ref="A35:C35"/>
    <mergeCell ref="A13:C13"/>
    <mergeCell ref="F44:G44"/>
    <mergeCell ref="F43:G43"/>
    <mergeCell ref="A40:I40"/>
    <mergeCell ref="F42:G42"/>
    <mergeCell ref="B42:C42"/>
    <mergeCell ref="F48:G48"/>
    <mergeCell ref="B48:C48"/>
    <mergeCell ref="F45:G45"/>
    <mergeCell ref="B44:C44"/>
    <mergeCell ref="B45:C45"/>
    <mergeCell ref="B43:C43"/>
    <mergeCell ref="B47:C47"/>
    <mergeCell ref="F47:G47"/>
    <mergeCell ref="B46:C46"/>
  </mergeCells>
  <printOptions/>
  <pageMargins left="0" right="0" top="0" bottom="0" header="0.31496062992125984" footer="0.31496062992125984"/>
  <pageSetup horizontalDpi="600" verticalDpi="600" orientation="portrait" paperSize="9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N56"/>
  <sheetViews>
    <sheetView zoomScaleSheetLayoutView="100" zoomScalePageLayoutView="0" workbookViewId="0" topLeftCell="A26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5.57421875" style="35" customWidth="1"/>
    <col min="3" max="3" width="12.8515625" style="35" customWidth="1"/>
    <col min="4" max="4" width="13.140625" style="35" bestFit="1" customWidth="1"/>
    <col min="5" max="5" width="12.7109375" style="35" customWidth="1"/>
    <col min="6" max="6" width="15.281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7109375" style="35" bestFit="1" customWidth="1"/>
    <col min="15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4.2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4.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3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4.5" customHeight="1"/>
    <row r="7" spans="1:6" s="71" customFormat="1" ht="16.5" customHeight="1">
      <c r="A7" s="71" t="s">
        <v>2</v>
      </c>
      <c r="F7" s="132" t="s">
        <v>70</v>
      </c>
    </row>
    <row r="8" spans="1:6" s="71" customFormat="1" ht="15">
      <c r="A8" s="71" t="s">
        <v>3</v>
      </c>
      <c r="F8" s="132" t="s">
        <v>356</v>
      </c>
    </row>
    <row r="9" s="71" customFormat="1" ht="6.7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215</v>
      </c>
      <c r="B13" s="320"/>
      <c r="C13" s="320"/>
      <c r="D13" s="50">
        <v>269099.48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'[1]пер.Чичерина 24'!$G$36</f>
        <v>-39261.53999999999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'[1]пер.Чичерина 24'!$G$37</f>
        <v>-43568.61959999999</v>
      </c>
      <c r="H16" s="66"/>
      <c r="I16" s="66"/>
    </row>
    <row r="17" s="71" customFormat="1" ht="7.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29.25">
      <c r="A19" s="79" t="s">
        <v>14</v>
      </c>
      <c r="B19" s="41" t="s">
        <v>15</v>
      </c>
      <c r="C19" s="141">
        <f>C20+C21+C22+C23</f>
        <v>9.53</v>
      </c>
      <c r="D19" s="80">
        <v>525864.53</v>
      </c>
      <c r="E19" s="80">
        <f>506221.03+221.18</f>
        <v>506442.21</v>
      </c>
      <c r="F19" s="80">
        <f>D19</f>
        <v>525864.53</v>
      </c>
      <c r="G19" s="81">
        <f aca="true" t="shared" si="0" ref="G19:G28">E19-D19</f>
        <v>-19422.320000000007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184300.89508919202</v>
      </c>
      <c r="E20" s="87">
        <f>E19*I20</f>
        <v>177493.91200419728</v>
      </c>
      <c r="F20" s="87">
        <f>D20</f>
        <v>184300.89508919202</v>
      </c>
      <c r="G20" s="88">
        <f t="shared" si="0"/>
        <v>-6806.983084994747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89943.25119622247</v>
      </c>
      <c r="E21" s="87">
        <f>E19*I21</f>
        <v>86621.28040923401</v>
      </c>
      <c r="F21" s="87">
        <f>D21</f>
        <v>89943.25119622247</v>
      </c>
      <c r="G21" s="88">
        <f t="shared" si="0"/>
        <v>-3321.9707869884587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89943.25119622247</v>
      </c>
      <c r="E22" s="87">
        <f>E19*I22</f>
        <v>86621.28040923401</v>
      </c>
      <c r="F22" s="87">
        <f>D22</f>
        <v>89943.25119622247</v>
      </c>
      <c r="G22" s="88">
        <f t="shared" si="0"/>
        <v>-3321.9707869884587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161677.1325183631</v>
      </c>
      <c r="E23" s="87">
        <f>E19*I23</f>
        <v>155705.73717733475</v>
      </c>
      <c r="F23" s="87">
        <f>D23</f>
        <v>161677.1325183631</v>
      </c>
      <c r="G23" s="88">
        <f t="shared" si="0"/>
        <v>-5971.395341028343</v>
      </c>
      <c r="H23" s="152">
        <f>C23</f>
        <v>2.93</v>
      </c>
      <c r="I23" s="71">
        <f>H23/H19</f>
        <v>0.30745015739769155</v>
      </c>
    </row>
    <row r="24" spans="1:7" ht="15">
      <c r="A24" s="41" t="s">
        <v>25</v>
      </c>
      <c r="B24" s="146" t="s">
        <v>26</v>
      </c>
      <c r="C24" s="101">
        <v>0</v>
      </c>
      <c r="D24" s="81">
        <v>0</v>
      </c>
      <c r="E24" s="81">
        <v>0</v>
      </c>
      <c r="F24" s="81">
        <v>0</v>
      </c>
      <c r="G24" s="81">
        <f t="shared" si="0"/>
        <v>0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>D25</f>
        <v>0</v>
      </c>
      <c r="G25" s="81">
        <f t="shared" si="0"/>
        <v>0</v>
      </c>
    </row>
    <row r="26" spans="1:7" ht="15">
      <c r="A26" s="41" t="s">
        <v>29</v>
      </c>
      <c r="B26" s="146" t="s">
        <v>170</v>
      </c>
      <c r="C26" s="147" t="s">
        <v>307</v>
      </c>
      <c r="D26" s="81">
        <v>0</v>
      </c>
      <c r="E26" s="81">
        <v>0</v>
      </c>
      <c r="F26" s="81">
        <f>D26</f>
        <v>0</v>
      </c>
      <c r="G26" s="81">
        <f t="shared" si="0"/>
        <v>0</v>
      </c>
    </row>
    <row r="27" spans="1:14" ht="15">
      <c r="A27" s="41" t="s">
        <v>31</v>
      </c>
      <c r="B27" s="146" t="s">
        <v>119</v>
      </c>
      <c r="C27" s="101">
        <v>1.8</v>
      </c>
      <c r="D27" s="81">
        <v>96792.12</v>
      </c>
      <c r="E27" s="81">
        <v>95431.92</v>
      </c>
      <c r="F27" s="91">
        <f>F43</f>
        <v>52376.1392</v>
      </c>
      <c r="G27" s="81">
        <f t="shared" si="0"/>
        <v>-1360.199999999997</v>
      </c>
      <c r="M27" s="167"/>
      <c r="N27" s="167"/>
    </row>
    <row r="28" spans="1:7" ht="15">
      <c r="A28" s="41" t="s">
        <v>33</v>
      </c>
      <c r="B28" s="140" t="s">
        <v>34</v>
      </c>
      <c r="C28" s="46">
        <v>0</v>
      </c>
      <c r="D28" s="81">
        <v>0</v>
      </c>
      <c r="E28" s="81">
        <v>0.01</v>
      </c>
      <c r="F28" s="91">
        <v>0</v>
      </c>
      <c r="G28" s="81">
        <f t="shared" si="0"/>
        <v>0.01</v>
      </c>
    </row>
    <row r="29" spans="1:7" ht="15">
      <c r="A29" s="41" t="s">
        <v>35</v>
      </c>
      <c r="B29" s="140" t="s">
        <v>36</v>
      </c>
      <c r="C29" s="101"/>
      <c r="D29" s="81">
        <f>SUM(D30:D33)</f>
        <v>1668277.52</v>
      </c>
      <c r="E29" s="81">
        <f>SUM(E30:E33)</f>
        <v>1658117.63</v>
      </c>
      <c r="F29" s="81">
        <f>SUM(F30:F33)</f>
        <v>1668277.52</v>
      </c>
      <c r="G29" s="81">
        <f>SUM(G30:G33)</f>
        <v>-10159.89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18836.77</v>
      </c>
      <c r="E30" s="88">
        <v>19114.88</v>
      </c>
      <c r="F30" s="88">
        <f>D30</f>
        <v>18836.77</v>
      </c>
      <c r="G30" s="88">
        <f>E30-D30</f>
        <v>278.1100000000006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615138.14</v>
      </c>
      <c r="E31" s="88">
        <v>613349.26</v>
      </c>
      <c r="F31" s="88">
        <f>D31</f>
        <v>615138.14</v>
      </c>
      <c r="G31" s="88">
        <f>E31-D31</f>
        <v>-1788.8800000000047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10" s="106" customFormat="1" ht="15">
      <c r="A33" s="34" t="s">
        <v>41</v>
      </c>
      <c r="B33" s="34" t="s">
        <v>43</v>
      </c>
      <c r="C33" s="103" t="s">
        <v>301</v>
      </c>
      <c r="D33" s="88">
        <v>1034302.61</v>
      </c>
      <c r="E33" s="88">
        <v>1025653.49</v>
      </c>
      <c r="F33" s="88">
        <f>D33</f>
        <v>1034302.61</v>
      </c>
      <c r="G33" s="88">
        <f>E33-D33</f>
        <v>-8649.119999999995</v>
      </c>
      <c r="H33" s="105"/>
      <c r="I33" s="105"/>
      <c r="J33" s="105"/>
    </row>
    <row r="34" spans="1:10" s="106" customFormat="1" ht="15.75" thickBot="1">
      <c r="A34" s="203" t="s">
        <v>639</v>
      </c>
      <c r="B34" s="204" t="s">
        <v>657</v>
      </c>
      <c r="C34" s="103"/>
      <c r="D34" s="88">
        <v>18000</v>
      </c>
      <c r="E34" s="88">
        <v>14660</v>
      </c>
      <c r="F34" s="87"/>
      <c r="G34" s="88">
        <f>E34-D34</f>
        <v>-3340</v>
      </c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D13+D19+D24+D25+D26+D27+D28+D29-E19-E24-E25-E26-E27-E28-E29</f>
        <v>300041.8800000001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-39261.52999999999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-512.8387999999904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ht="25.5" customHeight="1">
      <c r="A40" s="372" t="s">
        <v>44</v>
      </c>
      <c r="B40" s="372"/>
      <c r="C40" s="372"/>
      <c r="D40" s="372"/>
      <c r="E40" s="372"/>
      <c r="F40" s="372"/>
      <c r="G40" s="372"/>
      <c r="H40" s="372"/>
      <c r="I40" s="372"/>
    </row>
    <row r="41" ht="4.5" customHeight="1"/>
    <row r="42" spans="1:7" s="179" customFormat="1" ht="28.5" customHeight="1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</row>
    <row r="43" spans="1:7" s="119" customFormat="1" ht="12.75" customHeight="1">
      <c r="A43" s="113" t="s">
        <v>47</v>
      </c>
      <c r="B43" s="342" t="s">
        <v>114</v>
      </c>
      <c r="C43" s="345"/>
      <c r="D43" s="115"/>
      <c r="E43" s="115"/>
      <c r="F43" s="356">
        <f>SUM(F44:L49)</f>
        <v>52376.1392</v>
      </c>
      <c r="G43" s="351"/>
    </row>
    <row r="44" spans="1:7" ht="12.75" customHeight="1">
      <c r="A44" s="34" t="s">
        <v>16</v>
      </c>
      <c r="B44" s="325" t="s">
        <v>267</v>
      </c>
      <c r="C44" s="327"/>
      <c r="D44" s="123" t="s">
        <v>173</v>
      </c>
      <c r="E44" s="123">
        <v>1</v>
      </c>
      <c r="F44" s="366">
        <v>1250</v>
      </c>
      <c r="G44" s="367"/>
    </row>
    <row r="45" spans="1:7" ht="12.75" customHeight="1">
      <c r="A45" s="34" t="s">
        <v>18</v>
      </c>
      <c r="B45" s="325" t="s">
        <v>357</v>
      </c>
      <c r="C45" s="327"/>
      <c r="D45" s="123" t="s">
        <v>176</v>
      </c>
      <c r="E45" s="123">
        <v>4.47</v>
      </c>
      <c r="F45" s="355">
        <v>15880.82</v>
      </c>
      <c r="G45" s="355"/>
    </row>
    <row r="46" spans="1:7" ht="12.75" customHeight="1">
      <c r="A46" s="34" t="s">
        <v>20</v>
      </c>
      <c r="B46" s="325" t="s">
        <v>628</v>
      </c>
      <c r="C46" s="327"/>
      <c r="D46" s="123" t="s">
        <v>352</v>
      </c>
      <c r="E46" s="126">
        <v>0.418</v>
      </c>
      <c r="F46" s="366">
        <v>12551</v>
      </c>
      <c r="G46" s="367"/>
    </row>
    <row r="47" spans="1:7" ht="12.75" customHeight="1">
      <c r="A47" s="34" t="s">
        <v>22</v>
      </c>
      <c r="B47" s="325" t="s">
        <v>629</v>
      </c>
      <c r="C47" s="327"/>
      <c r="D47" s="123" t="s">
        <v>352</v>
      </c>
      <c r="E47" s="123">
        <v>0.59</v>
      </c>
      <c r="F47" s="366">
        <v>8020</v>
      </c>
      <c r="G47" s="367"/>
    </row>
    <row r="48" spans="1:7" ht="12.75" customHeight="1">
      <c r="A48" s="34" t="s">
        <v>24</v>
      </c>
      <c r="B48" s="325" t="s">
        <v>663</v>
      </c>
      <c r="C48" s="350"/>
      <c r="D48" s="123"/>
      <c r="E48" s="159" t="s">
        <v>286</v>
      </c>
      <c r="F48" s="344">
        <v>13720</v>
      </c>
      <c r="G48" s="344"/>
    </row>
    <row r="49" spans="1:7" ht="15">
      <c r="A49" s="34" t="s">
        <v>106</v>
      </c>
      <c r="B49" s="155" t="s">
        <v>207</v>
      </c>
      <c r="C49" s="156"/>
      <c r="D49" s="123"/>
      <c r="E49" s="123"/>
      <c r="F49" s="355">
        <f>E27*1%</f>
        <v>954.3192</v>
      </c>
      <c r="G49" s="355"/>
    </row>
    <row r="50" s="71" customFormat="1" ht="13.5" customHeight="1"/>
    <row r="51" spans="1:6" s="71" customFormat="1" ht="15">
      <c r="A51" s="71" t="s">
        <v>55</v>
      </c>
      <c r="C51" s="71" t="s">
        <v>49</v>
      </c>
      <c r="F51" s="71" t="s">
        <v>93</v>
      </c>
    </row>
    <row r="52" s="71" customFormat="1" ht="12" customHeight="1">
      <c r="F52" s="132" t="s">
        <v>296</v>
      </c>
    </row>
    <row r="53" s="71" customFormat="1" ht="15">
      <c r="A53" s="71" t="s">
        <v>50</v>
      </c>
    </row>
    <row r="54" spans="3:7" s="71" customFormat="1" ht="15">
      <c r="C54" s="134" t="s">
        <v>51</v>
      </c>
      <c r="E54" s="134"/>
      <c r="F54" s="134"/>
      <c r="G54" s="134"/>
    </row>
    <row r="55" spans="1:7" ht="15">
      <c r="A55" s="71"/>
      <c r="B55" s="71"/>
      <c r="C55" s="71"/>
      <c r="D55" s="71"/>
      <c r="E55" s="71"/>
      <c r="F55" s="71"/>
      <c r="G55" s="71"/>
    </row>
    <row r="56" spans="1:7" ht="15">
      <c r="A56" s="71"/>
      <c r="B56" s="71"/>
      <c r="C56" s="71"/>
      <c r="D56" s="71"/>
      <c r="E56" s="71"/>
      <c r="F56" s="71"/>
      <c r="G56" s="71"/>
    </row>
  </sheetData>
  <sheetProtection/>
  <mergeCells count="25">
    <mergeCell ref="B47:C47"/>
    <mergeCell ref="B48:C48"/>
    <mergeCell ref="A40:I40"/>
    <mergeCell ref="B42:C42"/>
    <mergeCell ref="B43:C43"/>
    <mergeCell ref="B44:C44"/>
    <mergeCell ref="B45:C45"/>
    <mergeCell ref="B46:C46"/>
    <mergeCell ref="F49:G49"/>
    <mergeCell ref="F44:G44"/>
    <mergeCell ref="F42:G42"/>
    <mergeCell ref="F47:G47"/>
    <mergeCell ref="F48:G48"/>
    <mergeCell ref="F43:G43"/>
    <mergeCell ref="F46:G46"/>
    <mergeCell ref="F45:G45"/>
    <mergeCell ref="A12:I12"/>
    <mergeCell ref="A13:C13"/>
    <mergeCell ref="A35:C35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zoomScalePageLayoutView="0" workbookViewId="0" topLeftCell="A25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7.28125" style="35" customWidth="1"/>
    <col min="3" max="3" width="12.8515625" style="35" customWidth="1"/>
    <col min="4" max="4" width="13.57421875" style="35" customWidth="1"/>
    <col min="5" max="5" width="15.57421875" style="35" customWidth="1"/>
    <col min="6" max="6" width="14.574218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6.75" customHeight="1"/>
    <row r="7" spans="1:6" s="71" customFormat="1" ht="16.5" customHeight="1">
      <c r="A7" s="71" t="s">
        <v>2</v>
      </c>
      <c r="F7" s="132" t="s">
        <v>71</v>
      </c>
    </row>
    <row r="8" spans="1:6" s="71" customFormat="1" ht="15">
      <c r="A8" s="71" t="s">
        <v>3</v>
      </c>
      <c r="F8" s="132" t="s">
        <v>597</v>
      </c>
    </row>
    <row r="9" s="71" customFormat="1" ht="6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422900.13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'[1]пер. Чичерина 28'!$G$36</f>
        <v>99543.7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'[1]пер. Чичерина 28'!$G$37</f>
        <v>271433.6199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29.25">
      <c r="A19" s="79" t="s">
        <v>14</v>
      </c>
      <c r="B19" s="41" t="s">
        <v>15</v>
      </c>
      <c r="C19" s="141">
        <f>C20+C21+C22+C23</f>
        <v>9.53</v>
      </c>
      <c r="D19" s="80">
        <v>357036.45</v>
      </c>
      <c r="E19" s="80">
        <v>355882.17</v>
      </c>
      <c r="F19" s="80">
        <f>D19</f>
        <v>357036.45</v>
      </c>
      <c r="G19" s="81">
        <f>E19-D19</f>
        <v>-1154.280000000028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125131.34763903463</v>
      </c>
      <c r="E20" s="87">
        <f>E19*I20</f>
        <v>124726.80459601257</v>
      </c>
      <c r="F20" s="87">
        <f>D20</f>
        <v>125131.34763903463</v>
      </c>
      <c r="G20" s="88">
        <f aca="true" t="shared" si="0" ref="G20:G28">E20-D20</f>
        <v>-404.54304302205855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61067.094805876186</v>
      </c>
      <c r="E21" s="87">
        <f>E19*I21</f>
        <v>60869.6681112277</v>
      </c>
      <c r="F21" s="87">
        <f>D21</f>
        <v>61067.094805876186</v>
      </c>
      <c r="G21" s="88">
        <f t="shared" si="0"/>
        <v>-197.42669464848586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61067.094805876186</v>
      </c>
      <c r="E22" s="87">
        <f>E19*I22</f>
        <v>60869.6681112277</v>
      </c>
      <c r="F22" s="87">
        <f>D22</f>
        <v>61067.094805876186</v>
      </c>
      <c r="G22" s="88">
        <f t="shared" si="0"/>
        <v>-197.42669464848586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109770.91274921304</v>
      </c>
      <c r="E23" s="87">
        <f>E19*I23</f>
        <v>109416.02918153202</v>
      </c>
      <c r="F23" s="87">
        <f>D23</f>
        <v>109770.91274921304</v>
      </c>
      <c r="G23" s="88">
        <f t="shared" si="0"/>
        <v>-354.8835676810122</v>
      </c>
      <c r="H23" s="152">
        <f>C23</f>
        <v>2.93</v>
      </c>
      <c r="I23" s="71">
        <f>H23/H19</f>
        <v>0.30745015739769155</v>
      </c>
    </row>
    <row r="24" spans="1:7" ht="15">
      <c r="A24" s="41" t="s">
        <v>25</v>
      </c>
      <c r="B24" s="146" t="s">
        <v>26</v>
      </c>
      <c r="C24" s="101">
        <v>0</v>
      </c>
      <c r="D24" s="81">
        <v>0</v>
      </c>
      <c r="E24" s="81">
        <v>0</v>
      </c>
      <c r="F24" s="81">
        <v>0</v>
      </c>
      <c r="G24" s="81">
        <f t="shared" si="0"/>
        <v>0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>D25</f>
        <v>0</v>
      </c>
      <c r="G25" s="81">
        <f t="shared" si="0"/>
        <v>0</v>
      </c>
    </row>
    <row r="26" spans="1:7" ht="15">
      <c r="A26" s="41" t="s">
        <v>29</v>
      </c>
      <c r="B26" s="146" t="s">
        <v>170</v>
      </c>
      <c r="C26" s="147"/>
      <c r="D26" s="81">
        <v>0</v>
      </c>
      <c r="E26" s="81">
        <v>0</v>
      </c>
      <c r="F26" s="81">
        <f>D26</f>
        <v>0</v>
      </c>
      <c r="G26" s="81">
        <f t="shared" si="0"/>
        <v>0</v>
      </c>
    </row>
    <row r="27" spans="1:7" ht="15">
      <c r="A27" s="41" t="s">
        <v>31</v>
      </c>
      <c r="B27" s="146" t="s">
        <v>119</v>
      </c>
      <c r="C27" s="101">
        <v>1.8</v>
      </c>
      <c r="D27" s="81">
        <v>67413.6</v>
      </c>
      <c r="E27" s="81">
        <v>66786.67</v>
      </c>
      <c r="F27" s="91">
        <f>F42</f>
        <v>78657.8667</v>
      </c>
      <c r="G27" s="81">
        <f t="shared" si="0"/>
        <v>-626.9300000000076</v>
      </c>
    </row>
    <row r="28" spans="1:7" ht="15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91">
        <v>0</v>
      </c>
      <c r="G28" s="81">
        <f t="shared" si="0"/>
        <v>0</v>
      </c>
    </row>
    <row r="29" spans="1:7" ht="15">
      <c r="A29" s="41" t="s">
        <v>35</v>
      </c>
      <c r="B29" s="140" t="s">
        <v>36</v>
      </c>
      <c r="C29" s="101"/>
      <c r="D29" s="81">
        <f>SUM(D30:D33)</f>
        <v>1492255.7599999998</v>
      </c>
      <c r="E29" s="81">
        <f>SUM(E30:E33)</f>
        <v>1479632.03</v>
      </c>
      <c r="F29" s="81">
        <f>SUM(F30:F33)</f>
        <v>1492255.7599999998</v>
      </c>
      <c r="G29" s="81">
        <f>SUM(G30:G33)</f>
        <v>-12623.72999999993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33970.98</v>
      </c>
      <c r="E30" s="88">
        <v>33603.61</v>
      </c>
      <c r="F30" s="88">
        <f>D30</f>
        <v>33970.98</v>
      </c>
      <c r="G30" s="88">
        <f>E30-D30</f>
        <v>-367.3700000000026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397761.1</v>
      </c>
      <c r="E31" s="88">
        <v>392210.95</v>
      </c>
      <c r="F31" s="88">
        <f>D31</f>
        <v>397761.1</v>
      </c>
      <c r="G31" s="88">
        <f>E31-D31</f>
        <v>-5550.149999999965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ht="15.75" thickBot="1">
      <c r="A33" s="34" t="s">
        <v>41</v>
      </c>
      <c r="B33" s="34" t="s">
        <v>43</v>
      </c>
      <c r="C33" s="103" t="s">
        <v>301</v>
      </c>
      <c r="D33" s="88">
        <v>1060523.68</v>
      </c>
      <c r="E33" s="88">
        <v>1053817.47</v>
      </c>
      <c r="F33" s="88">
        <f>D33</f>
        <v>1060523.68</v>
      </c>
      <c r="G33" s="88">
        <f>E33-D33</f>
        <v>-6706.209999999963</v>
      </c>
      <c r="H33" s="105"/>
      <c r="I33" s="105"/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437305.07000000007</v>
      </c>
      <c r="E34" s="70"/>
      <c r="F34" s="70"/>
      <c r="G34" s="70"/>
      <c r="H34" s="66"/>
      <c r="I34" s="66"/>
      <c r="J34" s="105"/>
    </row>
    <row r="35" spans="1:9" s="71" customFormat="1" ht="15.75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99543.7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259562.42319999996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35.25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0" ht="27" customHeight="1"/>
    <row r="41" spans="1:9" ht="28.5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s="179" customFormat="1" ht="15">
      <c r="A42" s="113" t="s">
        <v>47</v>
      </c>
      <c r="B42" s="342" t="s">
        <v>114</v>
      </c>
      <c r="C42" s="345"/>
      <c r="D42" s="115"/>
      <c r="E42" s="115"/>
      <c r="F42" s="356">
        <f>SUM(F43:L45)</f>
        <v>78657.8667</v>
      </c>
      <c r="G42" s="351"/>
      <c r="H42" s="119"/>
      <c r="I42" s="119"/>
    </row>
    <row r="43" spans="1:9" s="119" customFormat="1" ht="12.75" customHeight="1">
      <c r="A43" s="34" t="s">
        <v>16</v>
      </c>
      <c r="B43" s="325" t="s">
        <v>663</v>
      </c>
      <c r="C43" s="350"/>
      <c r="D43" s="123"/>
      <c r="E43" s="159" t="s">
        <v>286</v>
      </c>
      <c r="F43" s="344">
        <v>9800</v>
      </c>
      <c r="G43" s="344"/>
      <c r="H43" s="35"/>
      <c r="I43" s="35"/>
    </row>
    <row r="44" spans="1:9" s="119" customFormat="1" ht="12.75" customHeight="1">
      <c r="A44" s="34" t="s">
        <v>18</v>
      </c>
      <c r="B44" s="325" t="s">
        <v>699</v>
      </c>
      <c r="C44" s="350"/>
      <c r="D44" s="123"/>
      <c r="E44" s="159"/>
      <c r="F44" s="344">
        <v>68190</v>
      </c>
      <c r="G44" s="344"/>
      <c r="H44" s="35"/>
      <c r="I44" s="35"/>
    </row>
    <row r="45" spans="1:9" s="71" customFormat="1" ht="15">
      <c r="A45" s="34" t="s">
        <v>20</v>
      </c>
      <c r="B45" s="155" t="s">
        <v>207</v>
      </c>
      <c r="C45" s="156"/>
      <c r="D45" s="123"/>
      <c r="E45" s="123"/>
      <c r="F45" s="355">
        <f>E27*1%</f>
        <v>667.8667</v>
      </c>
      <c r="G45" s="355"/>
      <c r="H45" s="35"/>
      <c r="I45" s="35"/>
    </row>
    <row r="46" s="71" customFormat="1" ht="13.5" customHeight="1"/>
    <row r="47" s="71" customFormat="1" ht="13.5" customHeight="1"/>
    <row r="48" spans="1:6" s="71" customFormat="1" ht="13.5" customHeight="1">
      <c r="A48" s="71" t="s">
        <v>55</v>
      </c>
      <c r="C48" s="71" t="s">
        <v>49</v>
      </c>
      <c r="F48" s="71" t="s">
        <v>93</v>
      </c>
    </row>
    <row r="49" s="71" customFormat="1" ht="13.5" customHeight="1">
      <c r="F49" s="132" t="s">
        <v>296</v>
      </c>
    </row>
    <row r="50" s="71" customFormat="1" ht="15">
      <c r="A50" s="71" t="s">
        <v>50</v>
      </c>
    </row>
    <row r="51" spans="3:7" s="71" customFormat="1" ht="15">
      <c r="C51" s="134" t="s">
        <v>51</v>
      </c>
      <c r="E51" s="134"/>
      <c r="F51" s="134"/>
      <c r="G51" s="134"/>
    </row>
    <row r="52" s="71" customFormat="1" ht="15"/>
    <row r="53" spans="1:7" s="71" customFormat="1" ht="15">
      <c r="A53" s="35"/>
      <c r="B53" s="35"/>
      <c r="C53" s="35"/>
      <c r="D53" s="35"/>
      <c r="E53" s="35"/>
      <c r="F53" s="35"/>
      <c r="G53" s="35"/>
    </row>
  </sheetData>
  <sheetProtection/>
  <mergeCells count="19">
    <mergeCell ref="B44:C44"/>
    <mergeCell ref="F44:G44"/>
    <mergeCell ref="A34:C34"/>
    <mergeCell ref="A39:I39"/>
    <mergeCell ref="B41:C41"/>
    <mergeCell ref="F41:G41"/>
    <mergeCell ref="B42:C42"/>
    <mergeCell ref="F43:G43"/>
    <mergeCell ref="B43:C43"/>
    <mergeCell ref="A1:I1"/>
    <mergeCell ref="A2:I2"/>
    <mergeCell ref="A5:I5"/>
    <mergeCell ref="A10:I10"/>
    <mergeCell ref="A3:K3"/>
    <mergeCell ref="F45:G45"/>
    <mergeCell ref="A13:C13"/>
    <mergeCell ref="A11:I11"/>
    <mergeCell ref="A12:I12"/>
    <mergeCell ref="F42:G42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zoomScale="96" zoomScaleNormal="96" zoomScalePageLayoutView="0" workbookViewId="0" topLeftCell="A1">
      <selection activeCell="G35" sqref="G35"/>
    </sheetView>
  </sheetViews>
  <sheetFormatPr defaultColWidth="9.140625" defaultRowHeight="15" outlineLevelCol="1"/>
  <cols>
    <col min="1" max="1" width="5.28125" style="35" customWidth="1"/>
    <col min="2" max="2" width="43.140625" style="35" customWidth="1"/>
    <col min="3" max="3" width="13.28125" style="167" customWidth="1"/>
    <col min="4" max="4" width="13.8515625" style="167" customWidth="1"/>
    <col min="5" max="5" width="13.7109375" style="167" customWidth="1"/>
    <col min="6" max="6" width="14.57421875" style="167" customWidth="1"/>
    <col min="7" max="7" width="15.00390625" style="167" customWidth="1"/>
    <col min="8" max="8" width="10.8515625" style="35" hidden="1" customWidth="1" outlineLevel="1"/>
    <col min="9" max="9" width="13.421875" style="35" hidden="1" customWidth="1" outlineLevel="1"/>
    <col min="10" max="11" width="9.140625" style="35" hidden="1" customWidth="1" outlineLevel="1"/>
    <col min="12" max="12" width="9.140625" style="35" hidden="1" customWidth="1" outlineLevel="1" collapsed="1"/>
    <col min="13" max="13" width="10.00390625" style="35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.7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3" customHeight="1">
      <c r="A4" s="165"/>
      <c r="B4" s="165"/>
      <c r="C4" s="166"/>
      <c r="D4" s="166"/>
      <c r="E4" s="166"/>
      <c r="F4" s="166"/>
      <c r="G4" s="166"/>
      <c r="H4" s="165"/>
      <c r="I4" s="165"/>
    </row>
    <row r="5" spans="1:9" ht="15.7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3" customHeight="1"/>
    <row r="7" spans="1:7" s="71" customFormat="1" ht="16.5" customHeight="1">
      <c r="A7" s="71" t="s">
        <v>2</v>
      </c>
      <c r="C7" s="152"/>
      <c r="D7" s="152"/>
      <c r="E7" s="152"/>
      <c r="F7" s="168" t="s">
        <v>56</v>
      </c>
      <c r="G7" s="152"/>
    </row>
    <row r="8" spans="1:7" s="71" customFormat="1" ht="15">
      <c r="A8" s="71" t="s">
        <v>3</v>
      </c>
      <c r="C8" s="152"/>
      <c r="D8" s="152"/>
      <c r="E8" s="152"/>
      <c r="F8" s="168" t="s">
        <v>365</v>
      </c>
      <c r="G8" s="152"/>
    </row>
    <row r="9" spans="3:7" s="71" customFormat="1" ht="4.5" customHeight="1">
      <c r="C9" s="152"/>
      <c r="D9" s="152"/>
      <c r="E9" s="152"/>
      <c r="F9" s="152"/>
      <c r="G9" s="152"/>
    </row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2">
        <v>79127.15</v>
      </c>
      <c r="E13" s="170"/>
      <c r="F13" s="170"/>
      <c r="G13" s="170"/>
      <c r="H13" s="66"/>
      <c r="I13" s="66"/>
    </row>
    <row r="14" spans="1:9" s="71" customFormat="1" ht="6" customHeight="1" thickBot="1">
      <c r="A14" s="72"/>
      <c r="B14" s="72"/>
      <c r="C14" s="171"/>
      <c r="D14" s="170"/>
      <c r="E14" s="170"/>
      <c r="F14" s="170"/>
      <c r="G14" s="170"/>
      <c r="H14" s="66"/>
      <c r="I14" s="66"/>
    </row>
    <row r="15" spans="1:9" s="71" customFormat="1" ht="15.75" thickBot="1">
      <c r="A15" s="67" t="s">
        <v>556</v>
      </c>
      <c r="B15" s="68"/>
      <c r="C15" s="172"/>
      <c r="D15" s="173"/>
      <c r="E15" s="173"/>
      <c r="F15" s="173"/>
      <c r="G15" s="169">
        <f>'[1]Пионерская 16'!$G$34</f>
        <v>34925.52</v>
      </c>
      <c r="H15" s="66"/>
      <c r="I15" s="66"/>
    </row>
    <row r="16" spans="1:9" s="71" customFormat="1" ht="15.75" thickBot="1">
      <c r="A16" s="67" t="s">
        <v>514</v>
      </c>
      <c r="B16" s="68"/>
      <c r="C16" s="172"/>
      <c r="D16" s="173"/>
      <c r="E16" s="173"/>
      <c r="F16" s="173"/>
      <c r="G16" s="169">
        <f>'[1]Пионерская 16'!$G$35</f>
        <v>240550.6536</v>
      </c>
      <c r="H16" s="66"/>
      <c r="I16" s="66"/>
    </row>
    <row r="17" spans="3:7" s="71" customFormat="1" ht="8.25" customHeight="1">
      <c r="C17" s="152"/>
      <c r="D17" s="152"/>
      <c r="E17" s="152"/>
      <c r="F17" s="152"/>
      <c r="G17" s="152"/>
    </row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175" customFormat="1" ht="14.25">
      <c r="A19" s="79" t="s">
        <v>14</v>
      </c>
      <c r="B19" s="140" t="s">
        <v>15</v>
      </c>
      <c r="C19" s="141">
        <f>C20+C21+C22+C23</f>
        <v>9.53</v>
      </c>
      <c r="D19" s="80">
        <v>551425.61</v>
      </c>
      <c r="E19" s="80">
        <v>532834.29</v>
      </c>
      <c r="F19" s="80">
        <f aca="true" t="shared" si="0" ref="F19:F24">D19</f>
        <v>551425.61</v>
      </c>
      <c r="G19" s="81">
        <f aca="true" t="shared" si="1" ref="G19:G25">D19-E19</f>
        <v>18591.31999999995</v>
      </c>
      <c r="H19" s="174">
        <f>C19</f>
        <v>9.53</v>
      </c>
    </row>
    <row r="20" spans="1:9" s="71" customFormat="1" ht="15">
      <c r="A20" s="85" t="s">
        <v>16</v>
      </c>
      <c r="B20" s="145" t="s">
        <v>17</v>
      </c>
      <c r="C20" s="103">
        <v>3.34</v>
      </c>
      <c r="D20" s="87">
        <f>D19*I20</f>
        <v>193259.34285414478</v>
      </c>
      <c r="E20" s="87">
        <f>E19*I20</f>
        <v>186743.60216159496</v>
      </c>
      <c r="F20" s="87">
        <f t="shared" si="0"/>
        <v>193259.34285414478</v>
      </c>
      <c r="G20" s="88">
        <f t="shared" si="1"/>
        <v>6515.740692549822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145" t="s">
        <v>19</v>
      </c>
      <c r="C21" s="103">
        <v>1.63</v>
      </c>
      <c r="D21" s="87">
        <f>D19*I21</f>
        <v>94315.18827911858</v>
      </c>
      <c r="E21" s="87">
        <f>E19*I21</f>
        <v>91135.35075550893</v>
      </c>
      <c r="F21" s="87">
        <f t="shared" si="0"/>
        <v>94315.18827911858</v>
      </c>
      <c r="G21" s="88">
        <f t="shared" si="1"/>
        <v>3179.837523609647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145" t="s">
        <v>21</v>
      </c>
      <c r="C22" s="103">
        <v>1.63</v>
      </c>
      <c r="D22" s="87">
        <f>D19*I22</f>
        <v>94315.18827911858</v>
      </c>
      <c r="E22" s="87">
        <f>E19*I22</f>
        <v>91135.35075550893</v>
      </c>
      <c r="F22" s="87">
        <f t="shared" si="0"/>
        <v>94315.18827911858</v>
      </c>
      <c r="G22" s="88">
        <f t="shared" si="1"/>
        <v>3179.837523609647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145" t="s">
        <v>23</v>
      </c>
      <c r="C23" s="103">
        <v>2.93</v>
      </c>
      <c r="D23" s="87">
        <f>D19*I23</f>
        <v>169535.89058761808</v>
      </c>
      <c r="E23" s="87">
        <f>E19*I23</f>
        <v>163819.98632738725</v>
      </c>
      <c r="F23" s="87">
        <f t="shared" si="0"/>
        <v>169535.89058761808</v>
      </c>
      <c r="G23" s="88">
        <f t="shared" si="1"/>
        <v>5715.904260230833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170</v>
      </c>
      <c r="C24" s="147">
        <v>1832.48</v>
      </c>
      <c r="D24" s="91"/>
      <c r="E24" s="91"/>
      <c r="F24" s="91">
        <f t="shared" si="0"/>
        <v>0</v>
      </c>
      <c r="G24" s="91">
        <f t="shared" si="1"/>
        <v>0</v>
      </c>
    </row>
    <row r="25" spans="1:7" s="39" customFormat="1" ht="14.25">
      <c r="A25" s="41" t="s">
        <v>27</v>
      </c>
      <c r="B25" s="146" t="s">
        <v>119</v>
      </c>
      <c r="C25" s="147">
        <v>1.8</v>
      </c>
      <c r="D25" s="91">
        <v>101710.08</v>
      </c>
      <c r="E25" s="91">
        <v>100530.18</v>
      </c>
      <c r="F25" s="91">
        <f>F40</f>
        <v>51943.1818</v>
      </c>
      <c r="G25" s="91">
        <f t="shared" si="1"/>
        <v>1179.9000000000087</v>
      </c>
    </row>
    <row r="26" spans="1:7" s="39" customFormat="1" ht="14.25">
      <c r="A26" s="41" t="s">
        <v>29</v>
      </c>
      <c r="B26" s="140" t="s">
        <v>36</v>
      </c>
      <c r="C26" s="141"/>
      <c r="D26" s="81">
        <f>SUM(D27:D30)</f>
        <v>1908281.44</v>
      </c>
      <c r="E26" s="81">
        <f>SUM(E27:E30)</f>
        <v>1886210.04</v>
      </c>
      <c r="F26" s="81">
        <f>SUM(F27:F30)</f>
        <v>1908281.44</v>
      </c>
      <c r="G26" s="81">
        <f>SUM(G27:G30)</f>
        <v>-22071.39999999995</v>
      </c>
    </row>
    <row r="27" spans="1:7" ht="15">
      <c r="A27" s="34" t="s">
        <v>220</v>
      </c>
      <c r="B27" s="34" t="s">
        <v>174</v>
      </c>
      <c r="C27" s="103" t="s">
        <v>300</v>
      </c>
      <c r="D27" s="88">
        <v>46949.34</v>
      </c>
      <c r="E27" s="88">
        <v>46388.89</v>
      </c>
      <c r="F27" s="88">
        <f>D27</f>
        <v>46949.34</v>
      </c>
      <c r="G27" s="88">
        <f>E27-D27</f>
        <v>-560.4499999999971</v>
      </c>
    </row>
    <row r="28" spans="1:7" ht="15">
      <c r="A28" s="34" t="s">
        <v>221</v>
      </c>
      <c r="B28" s="34" t="s">
        <v>142</v>
      </c>
      <c r="C28" s="103" t="s">
        <v>315</v>
      </c>
      <c r="D28" s="88">
        <v>695831.36</v>
      </c>
      <c r="E28" s="88">
        <v>683141.1</v>
      </c>
      <c r="F28" s="88">
        <f>D28</f>
        <v>695831.36</v>
      </c>
      <c r="G28" s="88">
        <f>E28-D28</f>
        <v>-12690.26000000001</v>
      </c>
    </row>
    <row r="29" spans="1:7" ht="15">
      <c r="A29" s="34" t="s">
        <v>222</v>
      </c>
      <c r="B29" s="145" t="s">
        <v>143</v>
      </c>
      <c r="C29" s="149">
        <v>0</v>
      </c>
      <c r="D29" s="88">
        <v>0</v>
      </c>
      <c r="E29" s="88">
        <v>0</v>
      </c>
      <c r="F29" s="88">
        <f>D29</f>
        <v>0</v>
      </c>
      <c r="G29" s="88">
        <f>E29-D29</f>
        <v>0</v>
      </c>
    </row>
    <row r="30" spans="1:7" ht="15">
      <c r="A30" s="34" t="s">
        <v>223</v>
      </c>
      <c r="B30" s="145" t="s">
        <v>43</v>
      </c>
      <c r="C30" s="103" t="s">
        <v>301</v>
      </c>
      <c r="D30" s="88">
        <v>1165500.74</v>
      </c>
      <c r="E30" s="88">
        <v>1156680.05</v>
      </c>
      <c r="F30" s="88">
        <f>D30</f>
        <v>1165500.74</v>
      </c>
      <c r="G30" s="88">
        <f>E30-D30</f>
        <v>-8820.689999999944</v>
      </c>
    </row>
    <row r="31" spans="1:7" ht="5.25" customHeight="1" thickBot="1">
      <c r="A31" s="176"/>
      <c r="B31" s="176"/>
      <c r="C31" s="177"/>
      <c r="D31" s="178"/>
      <c r="E31" s="178"/>
      <c r="F31" s="178"/>
      <c r="G31" s="178"/>
    </row>
    <row r="32" spans="1:9" s="71" customFormat="1" ht="15.75" thickBot="1">
      <c r="A32" s="319" t="s">
        <v>420</v>
      </c>
      <c r="B32" s="320"/>
      <c r="C32" s="320"/>
      <c r="D32" s="69">
        <f>D13+D19+D24+D25+D26-E19-E24-E25-E26</f>
        <v>120969.76999999979</v>
      </c>
      <c r="E32" s="170"/>
      <c r="F32" s="170"/>
      <c r="G32" s="170"/>
      <c r="H32" s="66"/>
      <c r="I32" s="66"/>
    </row>
    <row r="33" spans="1:9" s="71" customFormat="1" ht="6" customHeight="1" thickBot="1">
      <c r="A33" s="72"/>
      <c r="B33" s="72"/>
      <c r="C33" s="171"/>
      <c r="D33" s="170"/>
      <c r="E33" s="170"/>
      <c r="F33" s="170"/>
      <c r="G33" s="170"/>
      <c r="H33" s="66"/>
      <c r="I33" s="66"/>
    </row>
    <row r="34" spans="1:9" s="71" customFormat="1" ht="15.75" thickBot="1">
      <c r="A34" s="67" t="s">
        <v>557</v>
      </c>
      <c r="B34" s="68"/>
      <c r="C34" s="172"/>
      <c r="D34" s="173"/>
      <c r="E34" s="173"/>
      <c r="F34" s="173"/>
      <c r="G34" s="169">
        <f>G15</f>
        <v>34925.52</v>
      </c>
      <c r="H34" s="66"/>
      <c r="I34" s="66"/>
    </row>
    <row r="35" spans="1:13" s="71" customFormat="1" ht="15.75" thickBot="1">
      <c r="A35" s="67" t="s">
        <v>558</v>
      </c>
      <c r="B35" s="68"/>
      <c r="C35" s="172"/>
      <c r="D35" s="173"/>
      <c r="E35" s="173"/>
      <c r="F35" s="173"/>
      <c r="G35" s="169">
        <f>G16+E25-F25</f>
        <v>289137.6518</v>
      </c>
      <c r="H35" s="66"/>
      <c r="I35" s="66"/>
      <c r="M35" s="152"/>
    </row>
    <row r="36" spans="1:9" s="71" customFormat="1" ht="15">
      <c r="A36" s="72"/>
      <c r="B36" s="72"/>
      <c r="C36" s="171"/>
      <c r="D36" s="170"/>
      <c r="E36" s="170"/>
      <c r="F36" s="170"/>
      <c r="G36" s="170"/>
      <c r="H36" s="66"/>
      <c r="I36" s="66"/>
    </row>
    <row r="37" spans="1:9" ht="28.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</row>
    <row r="38" ht="6.75" customHeight="1"/>
    <row r="39" spans="1:7" s="179" customFormat="1" ht="28.5" customHeight="1">
      <c r="A39" s="109" t="s">
        <v>11</v>
      </c>
      <c r="B39" s="340" t="s">
        <v>45</v>
      </c>
      <c r="C39" s="341"/>
      <c r="D39" s="109" t="s">
        <v>172</v>
      </c>
      <c r="E39" s="109" t="s">
        <v>171</v>
      </c>
      <c r="F39" s="335" t="s">
        <v>46</v>
      </c>
      <c r="G39" s="336"/>
    </row>
    <row r="40" spans="1:7" s="119" customFormat="1" ht="12.75" customHeight="1">
      <c r="A40" s="113" t="s">
        <v>47</v>
      </c>
      <c r="B40" s="342" t="s">
        <v>114</v>
      </c>
      <c r="C40" s="343"/>
      <c r="D40" s="180"/>
      <c r="E40" s="180"/>
      <c r="F40" s="338">
        <f>SUM(F41:G48)</f>
        <v>51943.1818</v>
      </c>
      <c r="G40" s="339"/>
    </row>
    <row r="41" spans="1:7" s="119" customFormat="1" ht="12.75" customHeight="1">
      <c r="A41" s="34" t="s">
        <v>16</v>
      </c>
      <c r="B41" s="325" t="s">
        <v>364</v>
      </c>
      <c r="C41" s="326"/>
      <c r="D41" s="181" t="s">
        <v>173</v>
      </c>
      <c r="E41" s="181">
        <v>1</v>
      </c>
      <c r="F41" s="329">
        <v>7223.94</v>
      </c>
      <c r="G41" s="330"/>
    </row>
    <row r="42" spans="1:7" s="119" customFormat="1" ht="12.75" customHeight="1">
      <c r="A42" s="34" t="s">
        <v>18</v>
      </c>
      <c r="B42" s="325" t="s">
        <v>263</v>
      </c>
      <c r="C42" s="326"/>
      <c r="D42" s="158"/>
      <c r="E42" s="158" t="s">
        <v>317</v>
      </c>
      <c r="F42" s="329">
        <v>930</v>
      </c>
      <c r="G42" s="330"/>
    </row>
    <row r="43" spans="1:7" s="119" customFormat="1" ht="12.75" customHeight="1">
      <c r="A43" s="34" t="s">
        <v>20</v>
      </c>
      <c r="B43" s="325" t="s">
        <v>263</v>
      </c>
      <c r="C43" s="326"/>
      <c r="D43" s="158"/>
      <c r="E43" s="158" t="s">
        <v>336</v>
      </c>
      <c r="F43" s="329">
        <v>1853.16</v>
      </c>
      <c r="G43" s="330"/>
    </row>
    <row r="44" spans="1:7" s="119" customFormat="1" ht="12.75" customHeight="1">
      <c r="A44" s="34" t="s">
        <v>22</v>
      </c>
      <c r="B44" s="325" t="s">
        <v>263</v>
      </c>
      <c r="C44" s="326"/>
      <c r="D44" s="158"/>
      <c r="E44" s="158" t="s">
        <v>336</v>
      </c>
      <c r="F44" s="329">
        <v>61.07</v>
      </c>
      <c r="G44" s="330"/>
    </row>
    <row r="45" spans="1:7" s="119" customFormat="1" ht="12.75" customHeight="1">
      <c r="A45" s="34" t="s">
        <v>24</v>
      </c>
      <c r="B45" s="325" t="s">
        <v>357</v>
      </c>
      <c r="C45" s="326"/>
      <c r="D45" s="158" t="s">
        <v>176</v>
      </c>
      <c r="E45" s="182">
        <v>1.49</v>
      </c>
      <c r="F45" s="329">
        <v>11911.71</v>
      </c>
      <c r="G45" s="330"/>
    </row>
    <row r="46" spans="1:7" s="119" customFormat="1" ht="12.75" customHeight="1">
      <c r="A46" s="34" t="s">
        <v>106</v>
      </c>
      <c r="B46" s="121" t="s">
        <v>628</v>
      </c>
      <c r="C46" s="161"/>
      <c r="D46" s="158" t="s">
        <v>352</v>
      </c>
      <c r="E46" s="182">
        <v>0.504</v>
      </c>
      <c r="F46" s="329">
        <v>14958</v>
      </c>
      <c r="G46" s="330"/>
    </row>
    <row r="47" spans="1:7" s="119" customFormat="1" ht="24" customHeight="1">
      <c r="A47" s="34" t="s">
        <v>107</v>
      </c>
      <c r="B47" s="325" t="s">
        <v>663</v>
      </c>
      <c r="C47" s="337"/>
      <c r="D47" s="183"/>
      <c r="E47" s="159" t="s">
        <v>286</v>
      </c>
      <c r="F47" s="329">
        <v>14000</v>
      </c>
      <c r="G47" s="330"/>
    </row>
    <row r="48" spans="1:7" s="119" customFormat="1" ht="12.75" customHeight="1">
      <c r="A48" s="34" t="s">
        <v>120</v>
      </c>
      <c r="B48" s="331" t="s">
        <v>207</v>
      </c>
      <c r="C48" s="332"/>
      <c r="D48" s="181"/>
      <c r="E48" s="181"/>
      <c r="F48" s="329">
        <f>E25*1%</f>
        <v>1005.3018</v>
      </c>
      <c r="G48" s="330"/>
    </row>
    <row r="49" spans="3:7" s="71" customFormat="1" ht="15">
      <c r="C49" s="152"/>
      <c r="D49" s="152"/>
      <c r="E49" s="152"/>
      <c r="F49" s="152"/>
      <c r="G49" s="152"/>
    </row>
    <row r="50" spans="1:7" s="71" customFormat="1" ht="15">
      <c r="A50" s="71" t="s">
        <v>55</v>
      </c>
      <c r="C50" s="152" t="s">
        <v>49</v>
      </c>
      <c r="D50" s="152"/>
      <c r="E50" s="152"/>
      <c r="F50" s="152" t="s">
        <v>93</v>
      </c>
      <c r="G50" s="152"/>
    </row>
    <row r="51" spans="3:7" s="71" customFormat="1" ht="15">
      <c r="C51" s="152"/>
      <c r="D51" s="152"/>
      <c r="E51" s="152"/>
      <c r="F51" s="168" t="s">
        <v>331</v>
      </c>
      <c r="G51" s="152"/>
    </row>
    <row r="52" spans="1:7" s="71" customFormat="1" ht="15">
      <c r="A52" s="71" t="s">
        <v>50</v>
      </c>
      <c r="C52" s="152"/>
      <c r="D52" s="152"/>
      <c r="E52" s="152"/>
      <c r="F52" s="152"/>
      <c r="G52" s="152"/>
    </row>
    <row r="53" spans="3:7" s="71" customFormat="1" ht="11.25" customHeight="1">
      <c r="C53" s="186" t="s">
        <v>51</v>
      </c>
      <c r="D53" s="152"/>
      <c r="E53" s="186"/>
      <c r="F53" s="186"/>
      <c r="G53" s="186"/>
    </row>
    <row r="54" spans="3:7" s="71" customFormat="1" ht="15">
      <c r="C54" s="152"/>
      <c r="D54" s="152"/>
      <c r="E54" s="152"/>
      <c r="F54" s="152"/>
      <c r="G54" s="152"/>
    </row>
    <row r="55" spans="3:7" s="71" customFormat="1" ht="15">
      <c r="C55" s="152"/>
      <c r="D55" s="152"/>
      <c r="E55" s="152"/>
      <c r="F55" s="152"/>
      <c r="G55" s="152"/>
    </row>
  </sheetData>
  <sheetProtection/>
  <mergeCells count="29">
    <mergeCell ref="F47:G47"/>
    <mergeCell ref="B47:C47"/>
    <mergeCell ref="B41:C41"/>
    <mergeCell ref="A37:I37"/>
    <mergeCell ref="F40:G40"/>
    <mergeCell ref="A13:C13"/>
    <mergeCell ref="A32:C32"/>
    <mergeCell ref="B39:C39"/>
    <mergeCell ref="B40:C40"/>
    <mergeCell ref="F45:G45"/>
    <mergeCell ref="A1:I1"/>
    <mergeCell ref="A2:I2"/>
    <mergeCell ref="A5:I5"/>
    <mergeCell ref="A10:I10"/>
    <mergeCell ref="A3:K3"/>
    <mergeCell ref="F41:G41"/>
    <mergeCell ref="F39:G39"/>
    <mergeCell ref="A11:I11"/>
    <mergeCell ref="A12:I12"/>
    <mergeCell ref="F46:G46"/>
    <mergeCell ref="B48:C48"/>
    <mergeCell ref="F48:G48"/>
    <mergeCell ref="F42:G42"/>
    <mergeCell ref="F43:G43"/>
    <mergeCell ref="B42:C42"/>
    <mergeCell ref="B43:C43"/>
    <mergeCell ref="B44:C44"/>
    <mergeCell ref="F44:G44"/>
    <mergeCell ref="B45:C45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2"/>
  <sheetViews>
    <sheetView zoomScalePageLayoutView="0" workbookViewId="0" topLeftCell="A19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9.28125" style="35" customWidth="1"/>
    <col min="3" max="3" width="12.8515625" style="35" customWidth="1"/>
    <col min="4" max="4" width="13.140625" style="35" bestFit="1" customWidth="1"/>
    <col min="5" max="5" width="13.140625" style="35" customWidth="1"/>
    <col min="6" max="6" width="13.8515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8.2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6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7.5" customHeight="1"/>
    <row r="7" spans="1:6" s="71" customFormat="1" ht="16.5" customHeight="1">
      <c r="A7" s="71" t="s">
        <v>2</v>
      </c>
      <c r="F7" s="132" t="s">
        <v>72</v>
      </c>
    </row>
    <row r="8" spans="1:6" s="71" customFormat="1" ht="15">
      <c r="A8" s="71" t="s">
        <v>3</v>
      </c>
      <c r="F8" s="132" t="s">
        <v>73</v>
      </c>
    </row>
    <row r="9" s="71" customFormat="1" ht="7.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280439.88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'[1]Калинина 12'!$G$36</f>
        <v>-154276.89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'[1]Калинина 12'!$G$37</f>
        <v>-979526.1475</v>
      </c>
      <c r="H16" s="66"/>
      <c r="I16" s="66"/>
    </row>
    <row r="17" s="71" customFormat="1" ht="8.2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209</v>
      </c>
      <c r="E18" s="76" t="s">
        <v>210</v>
      </c>
      <c r="F18" s="77" t="s">
        <v>211</v>
      </c>
      <c r="G18" s="76" t="s">
        <v>212</v>
      </c>
    </row>
    <row r="19" spans="1:8" s="71" customFormat="1" ht="15">
      <c r="A19" s="79" t="s">
        <v>14</v>
      </c>
      <c r="B19" s="41" t="s">
        <v>15</v>
      </c>
      <c r="C19" s="141">
        <f>C20+C21+C22+C23+C24</f>
        <v>13.03</v>
      </c>
      <c r="D19" s="80">
        <v>353439.1</v>
      </c>
      <c r="E19" s="80">
        <v>316292.2</v>
      </c>
      <c r="F19" s="80">
        <f aca="true" t="shared" si="0" ref="F19:F27">D19</f>
        <v>353439.1</v>
      </c>
      <c r="G19" s="81">
        <f aca="true" t="shared" si="1" ref="G19:G29">E19-D19</f>
        <v>-37146.899999999965</v>
      </c>
      <c r="H19" s="152">
        <f aca="true" t="shared" si="2" ref="H19:H24">C19</f>
        <v>13.03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90597.5897160399</v>
      </c>
      <c r="E20" s="87">
        <f>E19*I20</f>
        <v>81075.66753645433</v>
      </c>
      <c r="F20" s="87">
        <f t="shared" si="0"/>
        <v>90597.5897160399</v>
      </c>
      <c r="G20" s="88">
        <f t="shared" si="1"/>
        <v>-9521.92217958557</v>
      </c>
      <c r="H20" s="152">
        <f t="shared" si="2"/>
        <v>3.34</v>
      </c>
      <c r="I20" s="71">
        <f>H20/H19</f>
        <v>0.2563315425940138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44213.79378357636</v>
      </c>
      <c r="E21" s="87">
        <f>E19*I21</f>
        <v>39566.86768994628</v>
      </c>
      <c r="F21" s="87">
        <f t="shared" si="0"/>
        <v>44213.79378357636</v>
      </c>
      <c r="G21" s="88">
        <f t="shared" si="1"/>
        <v>-4646.926093630078</v>
      </c>
      <c r="H21" s="152">
        <f t="shared" si="2"/>
        <v>1.63</v>
      </c>
      <c r="I21" s="71">
        <f>H21/H19</f>
        <v>0.12509593246354567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44213.79378357636</v>
      </c>
      <c r="E22" s="87">
        <f>E19*I22</f>
        <v>39566.86768994628</v>
      </c>
      <c r="F22" s="87">
        <f t="shared" si="0"/>
        <v>44213.79378357636</v>
      </c>
      <c r="G22" s="88">
        <f t="shared" si="1"/>
        <v>-4646.926093630078</v>
      </c>
      <c r="H22" s="152">
        <f t="shared" si="2"/>
        <v>1.63</v>
      </c>
      <c r="I22" s="71">
        <f>H22/H19</f>
        <v>0.12509593246354567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79476.3287029931</v>
      </c>
      <c r="E23" s="87">
        <f>E19*I23</f>
        <v>71123.26523407522</v>
      </c>
      <c r="F23" s="87">
        <f t="shared" si="0"/>
        <v>79476.3287029931</v>
      </c>
      <c r="G23" s="88">
        <f t="shared" si="1"/>
        <v>-8353.06346891787</v>
      </c>
      <c r="H23" s="152">
        <f t="shared" si="2"/>
        <v>2.93</v>
      </c>
      <c r="I23" s="71">
        <f>H23/H19</f>
        <v>0.22486569455103608</v>
      </c>
    </row>
    <row r="24" spans="1:9" s="71" customFormat="1" ht="15">
      <c r="A24" s="85" t="s">
        <v>24</v>
      </c>
      <c r="B24" s="34" t="s">
        <v>149</v>
      </c>
      <c r="C24" s="103">
        <v>3.5</v>
      </c>
      <c r="D24" s="87">
        <f>D19*I24</f>
        <v>94937.59401381428</v>
      </c>
      <c r="E24" s="87">
        <f>E19*I24</f>
        <v>84959.5318495779</v>
      </c>
      <c r="F24" s="87">
        <f>D24</f>
        <v>94937.59401381428</v>
      </c>
      <c r="G24" s="88">
        <f>E24-D24</f>
        <v>-9978.06216423637</v>
      </c>
      <c r="H24" s="152">
        <f t="shared" si="2"/>
        <v>3.5</v>
      </c>
      <c r="I24" s="71">
        <f>H24/H19</f>
        <v>0.2686108979278588</v>
      </c>
    </row>
    <row r="25" spans="1:7" ht="15">
      <c r="A25" s="41" t="s">
        <v>25</v>
      </c>
      <c r="B25" s="146" t="s">
        <v>141</v>
      </c>
      <c r="C25" s="101">
        <v>0</v>
      </c>
      <c r="D25" s="81">
        <v>0</v>
      </c>
      <c r="E25" s="81">
        <v>416.17</v>
      </c>
      <c r="F25" s="81">
        <v>0</v>
      </c>
      <c r="G25" s="81">
        <f t="shared" si="1"/>
        <v>416.17</v>
      </c>
    </row>
    <row r="26" spans="1:7" ht="15">
      <c r="A26" s="41" t="s">
        <v>27</v>
      </c>
      <c r="B26" s="146" t="s">
        <v>28</v>
      </c>
      <c r="C26" s="101">
        <v>0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</row>
    <row r="27" spans="1:7" ht="15">
      <c r="A27" s="41" t="s">
        <v>29</v>
      </c>
      <c r="B27" s="146" t="s">
        <v>170</v>
      </c>
      <c r="C27" s="147" t="s">
        <v>314</v>
      </c>
      <c r="D27" s="81">
        <v>0</v>
      </c>
      <c r="E27" s="81">
        <v>0</v>
      </c>
      <c r="F27" s="81">
        <f t="shared" si="0"/>
        <v>0</v>
      </c>
      <c r="G27" s="81">
        <f t="shared" si="1"/>
        <v>0</v>
      </c>
    </row>
    <row r="28" spans="1:7" ht="15">
      <c r="A28" s="41" t="s">
        <v>31</v>
      </c>
      <c r="B28" s="146" t="s">
        <v>119</v>
      </c>
      <c r="C28" s="101">
        <v>1.8</v>
      </c>
      <c r="D28" s="81">
        <v>58844.88</v>
      </c>
      <c r="E28" s="81">
        <v>55004.58</v>
      </c>
      <c r="F28" s="91">
        <f>F43</f>
        <v>9510.0458</v>
      </c>
      <c r="G28" s="81">
        <f t="shared" si="1"/>
        <v>-3840.2999999999956</v>
      </c>
    </row>
    <row r="29" spans="1:7" ht="15">
      <c r="A29" s="41" t="s">
        <v>33</v>
      </c>
      <c r="B29" s="140" t="s">
        <v>34</v>
      </c>
      <c r="C29" s="46">
        <v>0</v>
      </c>
      <c r="D29" s="81">
        <v>0</v>
      </c>
      <c r="E29" s="81">
        <v>3.53</v>
      </c>
      <c r="F29" s="91">
        <v>0</v>
      </c>
      <c r="G29" s="81">
        <f t="shared" si="1"/>
        <v>3.53</v>
      </c>
    </row>
    <row r="30" spans="1:7" ht="15">
      <c r="A30" s="41" t="s">
        <v>35</v>
      </c>
      <c r="B30" s="140" t="s">
        <v>36</v>
      </c>
      <c r="C30" s="101"/>
      <c r="D30" s="81">
        <f>SUM(D31:D34)</f>
        <v>1097337.55</v>
      </c>
      <c r="E30" s="81">
        <f>SUM(E31:E34)</f>
        <v>1030123.3200000001</v>
      </c>
      <c r="F30" s="81">
        <f>SUM(F31:F34)</f>
        <v>1097337.55</v>
      </c>
      <c r="G30" s="81">
        <f>SUM(G31:G34)</f>
        <v>-67214.23000000003</v>
      </c>
    </row>
    <row r="31" spans="1:7" ht="15">
      <c r="A31" s="34" t="s">
        <v>37</v>
      </c>
      <c r="B31" s="34" t="s">
        <v>174</v>
      </c>
      <c r="C31" s="103" t="s">
        <v>217</v>
      </c>
      <c r="D31" s="88">
        <v>7129.78</v>
      </c>
      <c r="E31" s="88">
        <v>6839.02</v>
      </c>
      <c r="F31" s="88">
        <f>D31</f>
        <v>7129.78</v>
      </c>
      <c r="G31" s="88">
        <f>E31-D31</f>
        <v>-290.7599999999993</v>
      </c>
    </row>
    <row r="32" spans="1:7" ht="15">
      <c r="A32" s="34" t="s">
        <v>39</v>
      </c>
      <c r="B32" s="34" t="s">
        <v>142</v>
      </c>
      <c r="C32" s="103" t="s">
        <v>216</v>
      </c>
      <c r="D32" s="88">
        <v>346745.4</v>
      </c>
      <c r="E32" s="88">
        <v>323086.09</v>
      </c>
      <c r="F32" s="88">
        <f>D32</f>
        <v>346745.4</v>
      </c>
      <c r="G32" s="88">
        <f>E32-D32</f>
        <v>-23659.309999999998</v>
      </c>
    </row>
    <row r="33" spans="1:7" ht="15">
      <c r="A33" s="34" t="s">
        <v>42</v>
      </c>
      <c r="B33" s="34" t="s">
        <v>40</v>
      </c>
      <c r="C33" s="149">
        <v>0</v>
      </c>
      <c r="D33" s="88">
        <v>0</v>
      </c>
      <c r="E33" s="88">
        <v>0</v>
      </c>
      <c r="F33" s="88">
        <f>D33</f>
        <v>0</v>
      </c>
      <c r="G33" s="88">
        <f>E33-D33</f>
        <v>0</v>
      </c>
    </row>
    <row r="34" spans="1:9" ht="15.75" thickBot="1">
      <c r="A34" s="34" t="s">
        <v>41</v>
      </c>
      <c r="B34" s="34" t="s">
        <v>43</v>
      </c>
      <c r="C34" s="103" t="s">
        <v>218</v>
      </c>
      <c r="D34" s="88">
        <v>743462.37</v>
      </c>
      <c r="E34" s="88">
        <v>700198.21</v>
      </c>
      <c r="F34" s="88">
        <f>D34</f>
        <v>743462.37</v>
      </c>
      <c r="G34" s="88">
        <f>E34-D34</f>
        <v>-43264.16000000003</v>
      </c>
      <c r="H34" s="105"/>
      <c r="I34" s="105"/>
    </row>
    <row r="35" spans="1:10" s="106" customFormat="1" ht="14.25" thickBot="1">
      <c r="A35" s="319" t="s">
        <v>420</v>
      </c>
      <c r="B35" s="320"/>
      <c r="C35" s="320"/>
      <c r="D35" s="69">
        <f>D13+D19+D25+D26+D27+D28+D29+D30-E19-E25-E26-E27-E28-E29-E30</f>
        <v>388221.6100000001</v>
      </c>
      <c r="E35" s="70"/>
      <c r="F35" s="70"/>
      <c r="G35" s="70"/>
      <c r="H35" s="66"/>
      <c r="I35" s="66"/>
      <c r="J35" s="105"/>
    </row>
    <row r="36" spans="1:9" s="71" customFormat="1" ht="15.75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G15+E29-F29</f>
        <v>-154273.36000000002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G16+E28-F28</f>
        <v>-934031.6133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209"/>
      <c r="I39" s="209"/>
    </row>
    <row r="40" spans="1:9" s="71" customFormat="1" ht="36" customHeight="1">
      <c r="A40" s="373" t="s">
        <v>44</v>
      </c>
      <c r="B40" s="374"/>
      <c r="C40" s="374"/>
      <c r="D40" s="374"/>
      <c r="E40" s="374"/>
      <c r="F40" s="374"/>
      <c r="G40" s="374"/>
      <c r="H40" s="210"/>
      <c r="I40" s="210"/>
    </row>
    <row r="41" ht="13.5" customHeight="1"/>
    <row r="42" spans="1:9" ht="28.5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  <c r="H42" s="179"/>
      <c r="I42" s="179"/>
    </row>
    <row r="43" spans="1:9" s="179" customFormat="1" ht="15">
      <c r="A43" s="113" t="s">
        <v>47</v>
      </c>
      <c r="B43" s="342" t="s">
        <v>114</v>
      </c>
      <c r="C43" s="345"/>
      <c r="D43" s="115"/>
      <c r="E43" s="115"/>
      <c r="F43" s="356">
        <f>SUM(F44:L45)</f>
        <v>9510.0458</v>
      </c>
      <c r="G43" s="351"/>
      <c r="H43" s="119"/>
      <c r="I43" s="119"/>
    </row>
    <row r="44" spans="1:7" ht="12.75" customHeight="1">
      <c r="A44" s="34" t="s">
        <v>16</v>
      </c>
      <c r="B44" s="325" t="s">
        <v>663</v>
      </c>
      <c r="C44" s="350"/>
      <c r="D44" s="123"/>
      <c r="E44" s="159" t="s">
        <v>286</v>
      </c>
      <c r="F44" s="344">
        <v>8960</v>
      </c>
      <c r="G44" s="344"/>
    </row>
    <row r="45" spans="1:7" ht="12.75" customHeight="1">
      <c r="A45" s="34" t="s">
        <v>18</v>
      </c>
      <c r="B45" s="155" t="s">
        <v>207</v>
      </c>
      <c r="C45" s="156"/>
      <c r="D45" s="123"/>
      <c r="E45" s="123"/>
      <c r="F45" s="355">
        <f>E28*1%</f>
        <v>550.0458</v>
      </c>
      <c r="G45" s="355"/>
    </row>
    <row r="46" spans="1:9" ht="12.75" customHeight="1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12.75" customHeight="1">
      <c r="A47" s="71" t="s">
        <v>55</v>
      </c>
      <c r="B47" s="71"/>
      <c r="C47" s="71" t="s">
        <v>49</v>
      </c>
      <c r="D47" s="71"/>
      <c r="E47" s="71"/>
      <c r="F47" s="71" t="s">
        <v>93</v>
      </c>
      <c r="G47" s="71"/>
      <c r="H47" s="71"/>
      <c r="I47" s="71"/>
    </row>
    <row r="48" spans="1:9" ht="15">
      <c r="A48" s="71"/>
      <c r="B48" s="71"/>
      <c r="C48" s="71"/>
      <c r="D48" s="71"/>
      <c r="E48" s="71"/>
      <c r="F48" s="132" t="s">
        <v>296</v>
      </c>
      <c r="G48" s="71"/>
      <c r="H48" s="71"/>
      <c r="I48" s="71"/>
    </row>
    <row r="49" s="71" customFormat="1" ht="15">
      <c r="A49" s="71" t="s">
        <v>50</v>
      </c>
    </row>
    <row r="50" spans="3:7" s="71" customFormat="1" ht="13.5" customHeight="1">
      <c r="C50" s="134" t="s">
        <v>51</v>
      </c>
      <c r="E50" s="134"/>
      <c r="F50" s="134"/>
      <c r="G50" s="134"/>
    </row>
    <row r="51" spans="8:9" s="71" customFormat="1" ht="15">
      <c r="H51" s="35"/>
      <c r="I51" s="35"/>
    </row>
    <row r="52" spans="3:7" s="71" customFormat="1" ht="15">
      <c r="C52" s="134"/>
      <c r="E52" s="134"/>
      <c r="F52" s="134"/>
      <c r="G52" s="134"/>
    </row>
    <row r="53" s="71" customFormat="1" ht="15"/>
    <row r="54" s="71" customFormat="1" ht="15"/>
  </sheetData>
  <sheetProtection/>
  <mergeCells count="17">
    <mergeCell ref="F45:G45"/>
    <mergeCell ref="B44:C44"/>
    <mergeCell ref="A1:I1"/>
    <mergeCell ref="A2:I2"/>
    <mergeCell ref="A5:I5"/>
    <mergeCell ref="A10:I10"/>
    <mergeCell ref="A3:K3"/>
    <mergeCell ref="A12:I12"/>
    <mergeCell ref="A11:I11"/>
    <mergeCell ref="A13:C13"/>
    <mergeCell ref="F44:G44"/>
    <mergeCell ref="F43:G43"/>
    <mergeCell ref="A35:C35"/>
    <mergeCell ref="B42:C42"/>
    <mergeCell ref="F42:G42"/>
    <mergeCell ref="B43:C43"/>
    <mergeCell ref="A40:G40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1:K52"/>
  <sheetViews>
    <sheetView zoomScalePageLayoutView="0" workbookViewId="0" topLeftCell="A4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2.28125" style="35" customWidth="1"/>
    <col min="3" max="4" width="12.8515625" style="35" customWidth="1"/>
    <col min="5" max="5" width="13.140625" style="35" bestFit="1" customWidth="1"/>
    <col min="6" max="6" width="15.57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2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3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4.5" customHeight="1"/>
    <row r="7" spans="1:6" s="71" customFormat="1" ht="16.5" customHeight="1">
      <c r="A7" s="71" t="s">
        <v>2</v>
      </c>
      <c r="F7" s="132" t="s">
        <v>74</v>
      </c>
    </row>
    <row r="8" spans="1:6" s="71" customFormat="1" ht="15">
      <c r="A8" s="71" t="s">
        <v>3</v>
      </c>
      <c r="F8" s="132" t="s">
        <v>325</v>
      </c>
    </row>
    <row r="9" s="71" customFormat="1" ht="5.2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62" t="s">
        <v>419</v>
      </c>
      <c r="B13" s="363"/>
      <c r="C13" s="363"/>
      <c r="D13" s="50">
        <v>163449.46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'[1]Калинина 18'!$G$36</f>
        <v>378849.35000000003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'[1]Калинина 18'!$G$37</f>
        <v>318186.70519999997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29.25">
      <c r="A19" s="79" t="s">
        <v>14</v>
      </c>
      <c r="B19" s="41" t="s">
        <v>15</v>
      </c>
      <c r="C19" s="141">
        <f>C20+C21+C22+C23</f>
        <v>9.53</v>
      </c>
      <c r="D19" s="80">
        <v>398345.52</v>
      </c>
      <c r="E19" s="80">
        <v>378631.64</v>
      </c>
      <c r="F19" s="80">
        <f>D19</f>
        <v>398345.52</v>
      </c>
      <c r="G19" s="81">
        <f aca="true" t="shared" si="0" ref="G19:G28">E19-D19</f>
        <v>-19713.880000000005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139609.02799580272</v>
      </c>
      <c r="E20" s="87">
        <f>E19*I20</f>
        <v>132699.86123819518</v>
      </c>
      <c r="F20" s="87">
        <f>D20</f>
        <v>139609.02799580272</v>
      </c>
      <c r="G20" s="88">
        <f t="shared" si="0"/>
        <v>-6909.1667576075415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68132.54959076601</v>
      </c>
      <c r="E21" s="87">
        <f>E19*I21</f>
        <v>64760.710724029384</v>
      </c>
      <c r="F21" s="87">
        <f>D21</f>
        <v>68132.54959076601</v>
      </c>
      <c r="G21" s="88">
        <f t="shared" si="0"/>
        <v>-3371.8388667366235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68132.54959076601</v>
      </c>
      <c r="E22" s="87">
        <f>E19*I22</f>
        <v>64760.710724029384</v>
      </c>
      <c r="F22" s="87">
        <f>D22</f>
        <v>68132.54959076601</v>
      </c>
      <c r="G22" s="88">
        <f t="shared" si="0"/>
        <v>-3371.8388667366235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122471.3928226653</v>
      </c>
      <c r="E23" s="87">
        <f>E19*I23</f>
        <v>116410.35731374609</v>
      </c>
      <c r="F23" s="87">
        <f>D23</f>
        <v>122471.3928226653</v>
      </c>
      <c r="G23" s="88">
        <f t="shared" si="0"/>
        <v>-6061.035508919202</v>
      </c>
      <c r="H23" s="152">
        <f>C23</f>
        <v>2.93</v>
      </c>
      <c r="I23" s="71">
        <f>H23/H19</f>
        <v>0.30745015739769155</v>
      </c>
    </row>
    <row r="24" spans="1:7" ht="15">
      <c r="A24" s="41" t="s">
        <v>25</v>
      </c>
      <c r="B24" s="146" t="s">
        <v>141</v>
      </c>
      <c r="C24" s="101">
        <v>0</v>
      </c>
      <c r="D24" s="81">
        <v>0</v>
      </c>
      <c r="E24" s="81">
        <v>0</v>
      </c>
      <c r="F24" s="81">
        <v>0</v>
      </c>
      <c r="G24" s="81">
        <f t="shared" si="0"/>
        <v>0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>D25</f>
        <v>0</v>
      </c>
      <c r="G25" s="81">
        <f t="shared" si="0"/>
        <v>0</v>
      </c>
    </row>
    <row r="26" spans="1:7" ht="15">
      <c r="A26" s="41" t="s">
        <v>29</v>
      </c>
      <c r="B26" s="146" t="s">
        <v>170</v>
      </c>
      <c r="C26" s="147" t="s">
        <v>307</v>
      </c>
      <c r="D26" s="81">
        <v>0</v>
      </c>
      <c r="E26" s="81">
        <v>0</v>
      </c>
      <c r="F26" s="81">
        <f>D26</f>
        <v>0</v>
      </c>
      <c r="G26" s="81">
        <f t="shared" si="0"/>
        <v>0</v>
      </c>
    </row>
    <row r="27" spans="1:7" ht="15">
      <c r="A27" s="41" t="s">
        <v>31</v>
      </c>
      <c r="B27" s="146" t="s">
        <v>119</v>
      </c>
      <c r="C27" s="101">
        <v>1.8</v>
      </c>
      <c r="D27" s="81">
        <v>72729.36</v>
      </c>
      <c r="E27" s="81">
        <v>71937.22</v>
      </c>
      <c r="F27" s="91">
        <f>F43</f>
        <v>17758.8722</v>
      </c>
      <c r="G27" s="81">
        <f t="shared" si="0"/>
        <v>-792.1399999999994</v>
      </c>
    </row>
    <row r="28" spans="1:7" ht="15">
      <c r="A28" s="41" t="s">
        <v>33</v>
      </c>
      <c r="B28" s="140" t="s">
        <v>34</v>
      </c>
      <c r="C28" s="46">
        <v>0</v>
      </c>
      <c r="D28" s="81">
        <v>0</v>
      </c>
      <c r="E28" s="81">
        <v>202.98</v>
      </c>
      <c r="F28" s="211">
        <v>0</v>
      </c>
      <c r="G28" s="81">
        <f t="shared" si="0"/>
        <v>202.98</v>
      </c>
    </row>
    <row r="29" spans="1:7" ht="15">
      <c r="A29" s="41" t="s">
        <v>35</v>
      </c>
      <c r="B29" s="140" t="s">
        <v>36</v>
      </c>
      <c r="C29" s="101"/>
      <c r="D29" s="81">
        <f>SUM(D30:D33)</f>
        <v>1375830.83</v>
      </c>
      <c r="E29" s="81">
        <f>SUM(E30:E33)</f>
        <v>1355810.7</v>
      </c>
      <c r="F29" s="81">
        <f>SUM(F30:F33)</f>
        <v>1375830.83</v>
      </c>
      <c r="G29" s="81">
        <f>SUM(G30:G33)</f>
        <v>-20020.12999999996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6820.26</v>
      </c>
      <c r="E30" s="88">
        <v>6779.59</v>
      </c>
      <c r="F30" s="88">
        <f>D30</f>
        <v>6820.26</v>
      </c>
      <c r="G30" s="88">
        <f>E30-D30</f>
        <v>-40.67000000000007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412358.99</v>
      </c>
      <c r="E31" s="88">
        <v>409267.51</v>
      </c>
      <c r="F31" s="88">
        <f>D31</f>
        <v>412358.99</v>
      </c>
      <c r="G31" s="88">
        <f>E31-D31</f>
        <v>-3091.4799999999814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ht="15">
      <c r="A33" s="34" t="s">
        <v>41</v>
      </c>
      <c r="B33" s="34" t="s">
        <v>43</v>
      </c>
      <c r="C33" s="103" t="s">
        <v>301</v>
      </c>
      <c r="D33" s="88">
        <v>956651.58</v>
      </c>
      <c r="E33" s="88">
        <v>939763.6</v>
      </c>
      <c r="F33" s="88">
        <f>D33</f>
        <v>956651.58</v>
      </c>
      <c r="G33" s="88">
        <f>E33-D33</f>
        <v>-16887.97999999998</v>
      </c>
      <c r="H33" s="105"/>
      <c r="I33" s="105"/>
    </row>
    <row r="34" spans="1:9" ht="15.75" thickBot="1">
      <c r="A34" s="203" t="s">
        <v>639</v>
      </c>
      <c r="B34" s="204" t="s">
        <v>657</v>
      </c>
      <c r="C34" s="103"/>
      <c r="D34" s="88">
        <v>11400</v>
      </c>
      <c r="E34" s="88">
        <v>9470</v>
      </c>
      <c r="F34" s="87"/>
      <c r="G34" s="88">
        <f>E34-D34</f>
        <v>-1930</v>
      </c>
      <c r="H34" s="105"/>
      <c r="I34" s="105"/>
    </row>
    <row r="35" spans="1:10" s="106" customFormat="1" ht="14.25" thickBot="1">
      <c r="A35" s="319" t="s">
        <v>420</v>
      </c>
      <c r="B35" s="320"/>
      <c r="C35" s="320"/>
      <c r="D35" s="69">
        <f>D13+D19+D24+D25+D26+D27+D28+D29-E19-E24-E25-E26-E27-E28-E29</f>
        <v>203772.6299999999</v>
      </c>
      <c r="E35" s="70"/>
      <c r="F35" s="70"/>
      <c r="G35" s="70"/>
      <c r="H35" s="66"/>
      <c r="I35" s="66"/>
      <c r="J35" s="105"/>
    </row>
    <row r="36" spans="1:9" s="71" customFormat="1" ht="15.75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379052.33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372365.05299999996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s="71" customFormat="1" ht="28.5" customHeight="1">
      <c r="A40" s="372" t="s">
        <v>44</v>
      </c>
      <c r="B40" s="372"/>
      <c r="C40" s="372"/>
      <c r="D40" s="372"/>
      <c r="E40" s="372"/>
      <c r="F40" s="372"/>
      <c r="G40" s="372"/>
      <c r="H40" s="372"/>
      <c r="I40" s="372"/>
    </row>
    <row r="41" ht="6.75" customHeight="1"/>
    <row r="42" spans="1:9" ht="28.5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  <c r="H42" s="179"/>
      <c r="I42" s="179"/>
    </row>
    <row r="43" spans="1:9" ht="15">
      <c r="A43" s="113" t="s">
        <v>47</v>
      </c>
      <c r="B43" s="342" t="s">
        <v>114</v>
      </c>
      <c r="C43" s="345"/>
      <c r="D43" s="115"/>
      <c r="E43" s="115"/>
      <c r="F43" s="356">
        <f>SUM(F44:L47)</f>
        <v>17758.8722</v>
      </c>
      <c r="G43" s="351"/>
      <c r="H43" s="119"/>
      <c r="I43" s="119"/>
    </row>
    <row r="44" spans="1:9" s="179" customFormat="1" ht="26.25">
      <c r="A44" s="34" t="s">
        <v>16</v>
      </c>
      <c r="B44" s="325" t="s">
        <v>180</v>
      </c>
      <c r="C44" s="327"/>
      <c r="D44" s="123"/>
      <c r="E44" s="123" t="s">
        <v>317</v>
      </c>
      <c r="F44" s="366">
        <v>1083.5</v>
      </c>
      <c r="G44" s="367"/>
      <c r="H44" s="35"/>
      <c r="I44" s="35"/>
    </row>
    <row r="45" spans="1:9" s="179" customFormat="1" ht="15">
      <c r="A45" s="34" t="s">
        <v>18</v>
      </c>
      <c r="B45" s="325" t="s">
        <v>311</v>
      </c>
      <c r="C45" s="327"/>
      <c r="D45" s="123" t="s">
        <v>294</v>
      </c>
      <c r="E45" s="123">
        <v>600</v>
      </c>
      <c r="F45" s="366">
        <v>6156</v>
      </c>
      <c r="G45" s="367"/>
      <c r="H45" s="35"/>
      <c r="I45" s="35"/>
    </row>
    <row r="46" spans="1:9" s="179" customFormat="1" ht="24" customHeight="1">
      <c r="A46" s="34" t="s">
        <v>20</v>
      </c>
      <c r="B46" s="325" t="s">
        <v>663</v>
      </c>
      <c r="C46" s="350"/>
      <c r="D46" s="123"/>
      <c r="E46" s="159" t="s">
        <v>286</v>
      </c>
      <c r="F46" s="344">
        <v>9800</v>
      </c>
      <c r="G46" s="344"/>
      <c r="H46" s="35"/>
      <c r="I46" s="35"/>
    </row>
    <row r="47" spans="1:7" ht="15">
      <c r="A47" s="34" t="s">
        <v>22</v>
      </c>
      <c r="B47" s="155" t="s">
        <v>207</v>
      </c>
      <c r="C47" s="156"/>
      <c r="D47" s="123"/>
      <c r="E47" s="123"/>
      <c r="F47" s="355">
        <f>E27*1%</f>
        <v>719.3722</v>
      </c>
      <c r="G47" s="355"/>
    </row>
    <row r="48" spans="1:9" ht="12" customHeight="1">
      <c r="A48" s="71"/>
      <c r="B48" s="71"/>
      <c r="C48" s="71"/>
      <c r="D48" s="71"/>
      <c r="E48" s="71"/>
      <c r="F48" s="71"/>
      <c r="G48" s="71"/>
      <c r="H48" s="71"/>
      <c r="I48" s="71"/>
    </row>
    <row r="49" spans="1:9" ht="12" customHeight="1">
      <c r="A49" s="71" t="s">
        <v>55</v>
      </c>
      <c r="B49" s="71"/>
      <c r="C49" s="71" t="s">
        <v>49</v>
      </c>
      <c r="D49" s="71"/>
      <c r="E49" s="71"/>
      <c r="F49" s="71" t="s">
        <v>93</v>
      </c>
      <c r="G49" s="71"/>
      <c r="H49" s="71"/>
      <c r="I49" s="71"/>
    </row>
    <row r="50" spans="1:9" ht="12" customHeight="1">
      <c r="A50" s="71"/>
      <c r="B50" s="71"/>
      <c r="C50" s="71"/>
      <c r="D50" s="71"/>
      <c r="E50" s="71"/>
      <c r="F50" s="132" t="s">
        <v>296</v>
      </c>
      <c r="G50" s="71"/>
      <c r="H50" s="71"/>
      <c r="I50" s="71"/>
    </row>
    <row r="51" s="71" customFormat="1" ht="9.75" customHeight="1">
      <c r="A51" s="71" t="s">
        <v>50</v>
      </c>
    </row>
    <row r="52" spans="3:7" s="71" customFormat="1" ht="15">
      <c r="C52" s="134" t="s">
        <v>51</v>
      </c>
      <c r="E52" s="134"/>
      <c r="F52" s="134"/>
      <c r="G52" s="134"/>
    </row>
    <row r="53" s="71" customFormat="1" ht="15"/>
    <row r="54" s="71" customFormat="1" ht="15"/>
  </sheetData>
  <sheetProtection/>
  <mergeCells count="21">
    <mergeCell ref="B44:C44"/>
    <mergeCell ref="F47:G47"/>
    <mergeCell ref="A35:C35"/>
    <mergeCell ref="A40:I40"/>
    <mergeCell ref="B42:C42"/>
    <mergeCell ref="F42:G42"/>
    <mergeCell ref="F45:G45"/>
    <mergeCell ref="F46:G46"/>
    <mergeCell ref="F44:G44"/>
    <mergeCell ref="B45:C45"/>
    <mergeCell ref="B46:C46"/>
    <mergeCell ref="A1:I1"/>
    <mergeCell ref="A2:I2"/>
    <mergeCell ref="A5:I5"/>
    <mergeCell ref="A10:I10"/>
    <mergeCell ref="A3:K3"/>
    <mergeCell ref="F43:G43"/>
    <mergeCell ref="A11:I11"/>
    <mergeCell ref="A13:C13"/>
    <mergeCell ref="A12:I12"/>
    <mergeCell ref="B43:C4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zoomScalePageLayoutView="0" workbookViewId="0" topLeftCell="A1">
      <selection activeCell="A17" sqref="A17"/>
    </sheetView>
  </sheetViews>
  <sheetFormatPr defaultColWidth="9.140625" defaultRowHeight="15" outlineLevelCol="1"/>
  <cols>
    <col min="1" max="1" width="4.7109375" style="35" customWidth="1"/>
    <col min="2" max="2" width="45.7109375" style="35" customWidth="1"/>
    <col min="3" max="3" width="12.7109375" style="35" customWidth="1"/>
    <col min="4" max="4" width="13.00390625" style="35" customWidth="1"/>
    <col min="5" max="5" width="13.140625" style="35" customWidth="1"/>
    <col min="6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7109375" style="35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2.7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9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4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3.75" customHeight="1"/>
    <row r="7" spans="1:6" s="71" customFormat="1" ht="16.5" customHeight="1">
      <c r="A7" s="71" t="s">
        <v>2</v>
      </c>
      <c r="F7" s="132" t="s">
        <v>75</v>
      </c>
    </row>
    <row r="8" spans="1:6" s="71" customFormat="1" ht="15">
      <c r="A8" s="71" t="s">
        <v>3</v>
      </c>
      <c r="F8" s="132" t="s">
        <v>326</v>
      </c>
    </row>
    <row r="9" s="71" customFormat="1" ht="15"/>
    <row r="10" spans="1:9" s="71" customFormat="1" ht="13.5" customHeight="1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0.5" customHeight="1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62" t="s">
        <v>419</v>
      </c>
      <c r="B13" s="363"/>
      <c r="C13" s="363"/>
      <c r="D13" s="50">
        <v>149913.58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'[1]Калинина 23'!$G$36</f>
        <v>-148697.76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'[1]Калинина 23'!$G$37</f>
        <v>-152798.7718</v>
      </c>
      <c r="H16" s="66"/>
      <c r="I16" s="66"/>
    </row>
    <row r="17" s="71" customFormat="1" ht="8.25" customHeight="1"/>
    <row r="18" spans="1:7" s="78" customFormat="1" ht="52.5" customHeight="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29.25">
      <c r="A19" s="79" t="s">
        <v>14</v>
      </c>
      <c r="B19" s="41" t="s">
        <v>15</v>
      </c>
      <c r="C19" s="141">
        <f>C20+C21+C22+C23</f>
        <v>9.53</v>
      </c>
      <c r="D19" s="80">
        <v>409207.84</v>
      </c>
      <c r="E19" s="80">
        <v>383291.78</v>
      </c>
      <c r="F19" s="80">
        <f>D19</f>
        <v>409207.84</v>
      </c>
      <c r="G19" s="81">
        <f aca="true" t="shared" si="0" ref="G19:G28">E19-D19</f>
        <v>-25916.059999999998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143415.96910807976</v>
      </c>
      <c r="E20" s="87">
        <f>E19*I20</f>
        <v>134333.1107240294</v>
      </c>
      <c r="F20" s="87">
        <f>D20</f>
        <v>143415.96910807976</v>
      </c>
      <c r="G20" s="88">
        <f t="shared" si="0"/>
        <v>-9082.85838405037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69990.42803777546</v>
      </c>
      <c r="E21" s="87">
        <f>E19*I21</f>
        <v>65557.77559286465</v>
      </c>
      <c r="F21" s="87">
        <f>D21</f>
        <v>69990.42803777546</v>
      </c>
      <c r="G21" s="88">
        <f t="shared" si="0"/>
        <v>-4432.652444910811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69990.42803777546</v>
      </c>
      <c r="E22" s="87">
        <f>E19*I22</f>
        <v>65557.77559286465</v>
      </c>
      <c r="F22" s="87">
        <f>D22</f>
        <v>69990.42803777546</v>
      </c>
      <c r="G22" s="88">
        <f t="shared" si="0"/>
        <v>-4432.652444910811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125811.01481636938</v>
      </c>
      <c r="E23" s="87">
        <f>E19*I23</f>
        <v>117843.11809024138</v>
      </c>
      <c r="F23" s="87">
        <f>D23</f>
        <v>125811.01481636938</v>
      </c>
      <c r="G23" s="88">
        <f t="shared" si="0"/>
        <v>-7967.896726128005</v>
      </c>
      <c r="H23" s="152">
        <f>C23</f>
        <v>2.93</v>
      </c>
      <c r="I23" s="71">
        <f>H23/H19</f>
        <v>0.30745015739769155</v>
      </c>
    </row>
    <row r="24" spans="1:7" ht="15">
      <c r="A24" s="41" t="s">
        <v>25</v>
      </c>
      <c r="B24" s="146" t="s">
        <v>141</v>
      </c>
      <c r="C24" s="101">
        <v>0</v>
      </c>
      <c r="D24" s="81">
        <v>0</v>
      </c>
      <c r="E24" s="81">
        <v>0</v>
      </c>
      <c r="F24" s="81">
        <v>0</v>
      </c>
      <c r="G24" s="81">
        <f t="shared" si="0"/>
        <v>0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>D25</f>
        <v>0</v>
      </c>
      <c r="G25" s="81">
        <f t="shared" si="0"/>
        <v>0</v>
      </c>
    </row>
    <row r="26" spans="1:7" ht="15">
      <c r="A26" s="41" t="s">
        <v>29</v>
      </c>
      <c r="B26" s="146" t="s">
        <v>170</v>
      </c>
      <c r="C26" s="147" t="s">
        <v>307</v>
      </c>
      <c r="D26" s="81">
        <v>0</v>
      </c>
      <c r="E26" s="81">
        <v>0</v>
      </c>
      <c r="F26" s="81">
        <f>D26</f>
        <v>0</v>
      </c>
      <c r="G26" s="81">
        <f t="shared" si="0"/>
        <v>0</v>
      </c>
    </row>
    <row r="27" spans="1:13" ht="15">
      <c r="A27" s="41" t="s">
        <v>31</v>
      </c>
      <c r="B27" s="146" t="s">
        <v>119</v>
      </c>
      <c r="C27" s="101">
        <v>1.8</v>
      </c>
      <c r="D27" s="81">
        <v>73379.52</v>
      </c>
      <c r="E27" s="81">
        <v>71055.34</v>
      </c>
      <c r="F27" s="91">
        <f>F42</f>
        <v>12929.0534</v>
      </c>
      <c r="G27" s="81">
        <f t="shared" si="0"/>
        <v>-2324.1800000000076</v>
      </c>
      <c r="M27" s="167"/>
    </row>
    <row r="28" spans="1:16" ht="15">
      <c r="A28" s="41" t="s">
        <v>33</v>
      </c>
      <c r="B28" s="140" t="s">
        <v>785</v>
      </c>
      <c r="C28" s="57">
        <v>5.16</v>
      </c>
      <c r="D28" s="81">
        <v>175295.6</v>
      </c>
      <c r="E28" s="81">
        <v>168782.74</v>
      </c>
      <c r="F28" s="211">
        <v>0</v>
      </c>
      <c r="G28" s="81">
        <f t="shared" si="0"/>
        <v>-6512.860000000015</v>
      </c>
      <c r="H28" s="377" t="s">
        <v>327</v>
      </c>
      <c r="I28" s="378"/>
      <c r="J28" s="378"/>
      <c r="N28" s="375"/>
      <c r="O28" s="376"/>
      <c r="P28" s="376"/>
    </row>
    <row r="29" spans="1:7" ht="15">
      <c r="A29" s="41" t="s">
        <v>35</v>
      </c>
      <c r="B29" s="140" t="s">
        <v>36</v>
      </c>
      <c r="C29" s="101"/>
      <c r="D29" s="81">
        <f>SUM(D30:D33)</f>
        <v>1347710.92</v>
      </c>
      <c r="E29" s="81">
        <f>SUM(E30:E33)</f>
        <v>1327217.91</v>
      </c>
      <c r="F29" s="81">
        <f>SUM(F30:F33)</f>
        <v>1347710.92</v>
      </c>
      <c r="G29" s="81">
        <f>SUM(G30:G33)</f>
        <v>-20493.009999999966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46716.54</v>
      </c>
      <c r="E30" s="88">
        <v>44814.43</v>
      </c>
      <c r="F30" s="88">
        <f>D30</f>
        <v>46716.54</v>
      </c>
      <c r="G30" s="88">
        <f>E30-D30</f>
        <v>-1902.1100000000006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395317.06</v>
      </c>
      <c r="E31" s="88">
        <v>403667.01</v>
      </c>
      <c r="F31" s="88">
        <f>D31</f>
        <v>395317.06</v>
      </c>
      <c r="G31" s="88">
        <f>E31-D31</f>
        <v>8349.950000000012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ht="15.75" thickBot="1">
      <c r="A33" s="34" t="s">
        <v>41</v>
      </c>
      <c r="B33" s="34" t="s">
        <v>43</v>
      </c>
      <c r="C33" s="103" t="s">
        <v>301</v>
      </c>
      <c r="D33" s="88">
        <v>905677.32</v>
      </c>
      <c r="E33" s="88">
        <v>878736.47</v>
      </c>
      <c r="F33" s="88">
        <f>D33</f>
        <v>905677.32</v>
      </c>
      <c r="G33" s="88">
        <f>E33-D33</f>
        <v>-26940.849999999977</v>
      </c>
      <c r="H33" s="105"/>
      <c r="I33" s="105"/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205159.68999999994</v>
      </c>
      <c r="E34" s="70"/>
      <c r="F34" s="70"/>
      <c r="G34" s="70"/>
      <c r="H34" s="66"/>
      <c r="I34" s="66"/>
      <c r="J34" s="105"/>
    </row>
    <row r="35" spans="1:9" s="71" customFormat="1" ht="15.75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20084.97999999998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-94672.4852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31.5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1" spans="1:9" ht="28.5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s="179" customFormat="1" ht="15">
      <c r="A42" s="113" t="s">
        <v>47</v>
      </c>
      <c r="B42" s="342" t="s">
        <v>114</v>
      </c>
      <c r="C42" s="345"/>
      <c r="D42" s="115"/>
      <c r="E42" s="115"/>
      <c r="F42" s="356">
        <f>SUM(F43:L46)</f>
        <v>12929.0534</v>
      </c>
      <c r="G42" s="351"/>
      <c r="H42" s="119"/>
      <c r="I42" s="119"/>
    </row>
    <row r="43" spans="1:9" s="119" customFormat="1" ht="12.75" customHeight="1">
      <c r="A43" s="34" t="s">
        <v>16</v>
      </c>
      <c r="B43" s="325" t="s">
        <v>328</v>
      </c>
      <c r="C43" s="327"/>
      <c r="D43" s="123" t="s">
        <v>260</v>
      </c>
      <c r="E43" s="212">
        <v>0.0044</v>
      </c>
      <c r="F43" s="366">
        <v>1081</v>
      </c>
      <c r="G43" s="367"/>
      <c r="H43" s="35"/>
      <c r="I43" s="35"/>
    </row>
    <row r="44" spans="1:9" s="119" customFormat="1" ht="12.75" customHeight="1">
      <c r="A44" s="34" t="s">
        <v>18</v>
      </c>
      <c r="B44" s="325" t="s">
        <v>328</v>
      </c>
      <c r="C44" s="327"/>
      <c r="D44" s="123" t="s">
        <v>260</v>
      </c>
      <c r="E44" s="123">
        <v>0.02</v>
      </c>
      <c r="F44" s="366">
        <v>1337.5</v>
      </c>
      <c r="G44" s="367"/>
      <c r="H44" s="35"/>
      <c r="I44" s="35"/>
    </row>
    <row r="45" spans="1:9" s="119" customFormat="1" ht="12.75" customHeight="1">
      <c r="A45" s="34" t="s">
        <v>20</v>
      </c>
      <c r="B45" s="325" t="s">
        <v>663</v>
      </c>
      <c r="C45" s="350"/>
      <c r="D45" s="123"/>
      <c r="E45" s="159" t="s">
        <v>286</v>
      </c>
      <c r="F45" s="344">
        <v>9800</v>
      </c>
      <c r="G45" s="344"/>
      <c r="H45" s="35"/>
      <c r="I45" s="35"/>
    </row>
    <row r="46" spans="1:7" ht="12.75" customHeight="1">
      <c r="A46" s="34" t="s">
        <v>22</v>
      </c>
      <c r="B46" s="155" t="s">
        <v>207</v>
      </c>
      <c r="C46" s="156"/>
      <c r="D46" s="123"/>
      <c r="E46" s="123"/>
      <c r="F46" s="355">
        <f>E27*1%</f>
        <v>710.5534</v>
      </c>
      <c r="G46" s="355"/>
    </row>
    <row r="47" spans="1:9" ht="12.75" customHeight="1">
      <c r="A47" s="71"/>
      <c r="B47" s="71"/>
      <c r="C47" s="71"/>
      <c r="D47" s="71"/>
      <c r="E47" s="71"/>
      <c r="F47" s="71"/>
      <c r="G47" s="71"/>
      <c r="H47" s="71"/>
      <c r="I47" s="71"/>
    </row>
    <row r="48" spans="1:9" ht="12.75" customHeight="1">
      <c r="A48" s="71" t="s">
        <v>55</v>
      </c>
      <c r="B48" s="71"/>
      <c r="C48" s="71" t="s">
        <v>49</v>
      </c>
      <c r="D48" s="71"/>
      <c r="E48" s="71"/>
      <c r="F48" s="71" t="s">
        <v>93</v>
      </c>
      <c r="G48" s="71"/>
      <c r="H48" s="71"/>
      <c r="I48" s="71"/>
    </row>
    <row r="49" spans="1:9" ht="12.75" customHeight="1">
      <c r="A49" s="71"/>
      <c r="B49" s="71"/>
      <c r="C49" s="71"/>
      <c r="D49" s="71"/>
      <c r="E49" s="71"/>
      <c r="F49" s="132" t="s">
        <v>296</v>
      </c>
      <c r="G49" s="71"/>
      <c r="H49" s="71"/>
      <c r="I49" s="71"/>
    </row>
    <row r="50" spans="1:9" ht="12.75" customHeight="1">
      <c r="A50" s="71" t="s">
        <v>50</v>
      </c>
      <c r="B50" s="71"/>
      <c r="C50" s="71"/>
      <c r="D50" s="71"/>
      <c r="E50" s="71"/>
      <c r="F50" s="71"/>
      <c r="G50" s="71"/>
      <c r="H50" s="71"/>
      <c r="I50" s="71"/>
    </row>
    <row r="51" spans="1:9" ht="12.75" customHeight="1">
      <c r="A51" s="71"/>
      <c r="B51" s="71"/>
      <c r="C51" s="134" t="s">
        <v>51</v>
      </c>
      <c r="D51" s="71"/>
      <c r="E51" s="134"/>
      <c r="F51" s="134"/>
      <c r="G51" s="134"/>
      <c r="H51" s="71"/>
      <c r="I51" s="71"/>
    </row>
    <row r="52" s="71" customFormat="1" ht="15"/>
    <row r="53" s="71" customFormat="1" ht="15"/>
  </sheetData>
  <sheetProtection/>
  <mergeCells count="23">
    <mergeCell ref="A34:C34"/>
    <mergeCell ref="A39:I39"/>
    <mergeCell ref="B41:C41"/>
    <mergeCell ref="F41:G41"/>
    <mergeCell ref="B42:C42"/>
    <mergeCell ref="F42:G42"/>
    <mergeCell ref="F46:G46"/>
    <mergeCell ref="F45:G45"/>
    <mergeCell ref="B43:C43"/>
    <mergeCell ref="B44:C44"/>
    <mergeCell ref="B45:C45"/>
    <mergeCell ref="F44:G44"/>
    <mergeCell ref="F43:G43"/>
    <mergeCell ref="N28:P28"/>
    <mergeCell ref="A13:C13"/>
    <mergeCell ref="A12:I12"/>
    <mergeCell ref="A11:I11"/>
    <mergeCell ref="A1:I1"/>
    <mergeCell ref="A2:I2"/>
    <mergeCell ref="A5:I5"/>
    <mergeCell ref="A10:I10"/>
    <mergeCell ref="A3:K3"/>
    <mergeCell ref="H28:J28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3"/>
  <sheetViews>
    <sheetView zoomScalePageLayoutView="0" workbookViewId="0" topLeftCell="A20">
      <selection activeCell="A17" sqref="A17"/>
    </sheetView>
  </sheetViews>
  <sheetFormatPr defaultColWidth="9.140625" defaultRowHeight="15" outlineLevelCol="1"/>
  <cols>
    <col min="1" max="1" width="4.7109375" style="35" customWidth="1"/>
    <col min="2" max="2" width="41.140625" style="35" customWidth="1"/>
    <col min="3" max="3" width="13.00390625" style="35" customWidth="1"/>
    <col min="4" max="4" width="13.57421875" style="35" customWidth="1"/>
    <col min="5" max="5" width="12.8515625" style="35" customWidth="1"/>
    <col min="6" max="6" width="13.8515625" style="35" customWidth="1"/>
    <col min="7" max="7" width="15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5.2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4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5.25" customHeight="1"/>
    <row r="7" spans="1:6" s="71" customFormat="1" ht="16.5" customHeight="1">
      <c r="A7" s="71" t="s">
        <v>2</v>
      </c>
      <c r="F7" s="132" t="s">
        <v>76</v>
      </c>
    </row>
    <row r="8" spans="1:6" s="71" customFormat="1" ht="15">
      <c r="A8" s="71" t="s">
        <v>3</v>
      </c>
      <c r="F8" s="132" t="s">
        <v>360</v>
      </c>
    </row>
    <row r="9" s="71" customFormat="1" ht="7.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73552.71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'[1]Пионерская 9'!$G$36</f>
        <v>24227.58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'[1]Пионерская 9'!$G$37</f>
        <v>-149498.3843</v>
      </c>
      <c r="H16" s="66"/>
      <c r="I16" s="66"/>
    </row>
    <row r="17" s="71" customFormat="1" ht="8.2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29.25">
      <c r="A19" s="79" t="s">
        <v>14</v>
      </c>
      <c r="B19" s="41" t="s">
        <v>15</v>
      </c>
      <c r="C19" s="141">
        <f>C20+C21+C22+C23</f>
        <v>9.969999999999999</v>
      </c>
      <c r="D19" s="80">
        <v>370091.47</v>
      </c>
      <c r="E19" s="80">
        <v>353307.96</v>
      </c>
      <c r="F19" s="80">
        <f>D19</f>
        <v>370091.47</v>
      </c>
      <c r="G19" s="81">
        <f aca="true" t="shared" si="0" ref="G19:G28">E19-D19</f>
        <v>-16783.50999999995</v>
      </c>
      <c r="H19" s="152">
        <f>C19</f>
        <v>9.969999999999999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123982.49847542627</v>
      </c>
      <c r="E20" s="87">
        <f>E19*I20</f>
        <v>118359.93845536611</v>
      </c>
      <c r="F20" s="87">
        <f>D20</f>
        <v>123982.49847542627</v>
      </c>
      <c r="G20" s="88">
        <f t="shared" si="0"/>
        <v>-5622.560020060162</v>
      </c>
      <c r="H20" s="152">
        <f>C20</f>
        <v>3.34</v>
      </c>
      <c r="I20" s="71">
        <f>H20/H19</f>
        <v>0.3350050150451354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60506.42889669007</v>
      </c>
      <c r="E21" s="87">
        <f>E19*I21</f>
        <v>57762.48493480442</v>
      </c>
      <c r="F21" s="87">
        <f>D21</f>
        <v>60506.42889669007</v>
      </c>
      <c r="G21" s="88">
        <f t="shared" si="0"/>
        <v>-2743.9439618856486</v>
      </c>
      <c r="H21" s="152">
        <f>C21</f>
        <v>1.63</v>
      </c>
      <c r="I21" s="71">
        <f>H21/H19</f>
        <v>0.16349047141424275</v>
      </c>
    </row>
    <row r="22" spans="1:9" s="71" customFormat="1" ht="15">
      <c r="A22" s="85" t="s">
        <v>20</v>
      </c>
      <c r="B22" s="34" t="s">
        <v>21</v>
      </c>
      <c r="C22" s="103">
        <v>2.07</v>
      </c>
      <c r="D22" s="87">
        <f>D19*I22</f>
        <v>76839.45264794384</v>
      </c>
      <c r="E22" s="87">
        <f>E19*I22</f>
        <v>73354.81215646942</v>
      </c>
      <c r="F22" s="87">
        <f>D22</f>
        <v>76839.45264794384</v>
      </c>
      <c r="G22" s="88">
        <f t="shared" si="0"/>
        <v>-3484.64049147442</v>
      </c>
      <c r="H22" s="152">
        <f>C22</f>
        <v>2.07</v>
      </c>
      <c r="I22" s="71">
        <f>H22/H19</f>
        <v>0.20762286860581747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108763.08997993983</v>
      </c>
      <c r="E23" s="87">
        <f>E19*I23</f>
        <v>103830.7244533601</v>
      </c>
      <c r="F23" s="87">
        <f>D23</f>
        <v>108763.08997993983</v>
      </c>
      <c r="G23" s="88">
        <f t="shared" si="0"/>
        <v>-4932.365526579728</v>
      </c>
      <c r="H23" s="152">
        <f>C23</f>
        <v>2.93</v>
      </c>
      <c r="I23" s="71">
        <f>H23/H19</f>
        <v>0.29388164493480445</v>
      </c>
    </row>
    <row r="24" spans="1:7" ht="15">
      <c r="A24" s="41" t="s">
        <v>25</v>
      </c>
      <c r="B24" s="146" t="s">
        <v>179</v>
      </c>
      <c r="C24" s="147">
        <v>3.72</v>
      </c>
      <c r="D24" s="81">
        <v>133013.64</v>
      </c>
      <c r="E24" s="81">
        <v>131617.48</v>
      </c>
      <c r="F24" s="80">
        <f aca="true" t="shared" si="1" ref="F24:F33">D24</f>
        <v>133013.64</v>
      </c>
      <c r="G24" s="81">
        <f t="shared" si="0"/>
        <v>-1396.1600000000035</v>
      </c>
    </row>
    <row r="25" spans="1:7" ht="15">
      <c r="A25" s="41" t="s">
        <v>27</v>
      </c>
      <c r="B25" s="146" t="s">
        <v>28</v>
      </c>
      <c r="C25" s="147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ht="15">
      <c r="A26" s="41" t="s">
        <v>29</v>
      </c>
      <c r="B26" s="146" t="s">
        <v>170</v>
      </c>
      <c r="C26" s="147" t="s">
        <v>361</v>
      </c>
      <c r="D26" s="81">
        <v>0</v>
      </c>
      <c r="E26" s="81">
        <v>0</v>
      </c>
      <c r="F26" s="80">
        <f t="shared" si="1"/>
        <v>0</v>
      </c>
      <c r="G26" s="81">
        <f t="shared" si="0"/>
        <v>0</v>
      </c>
    </row>
    <row r="27" spans="1:13" ht="15">
      <c r="A27" s="41" t="s">
        <v>31</v>
      </c>
      <c r="B27" s="146" t="s">
        <v>119</v>
      </c>
      <c r="C27" s="147">
        <v>1.99</v>
      </c>
      <c r="D27" s="81">
        <v>71155.92</v>
      </c>
      <c r="E27" s="81">
        <v>70427.84</v>
      </c>
      <c r="F27" s="80">
        <f>F42</f>
        <v>4791.8584</v>
      </c>
      <c r="G27" s="81">
        <f t="shared" si="0"/>
        <v>-728.0800000000017</v>
      </c>
      <c r="M27" s="167"/>
    </row>
    <row r="28" spans="1:7" ht="15">
      <c r="A28" s="41" t="s">
        <v>33</v>
      </c>
      <c r="B28" s="140" t="s">
        <v>34</v>
      </c>
      <c r="C28" s="141">
        <v>0</v>
      </c>
      <c r="D28" s="81">
        <v>0</v>
      </c>
      <c r="E28" s="81">
        <v>88.26</v>
      </c>
      <c r="F28" s="80">
        <f>D28</f>
        <v>0</v>
      </c>
      <c r="G28" s="81">
        <f t="shared" si="0"/>
        <v>88.26</v>
      </c>
    </row>
    <row r="29" spans="1:7" ht="15">
      <c r="A29" s="41" t="s">
        <v>35</v>
      </c>
      <c r="B29" s="140" t="s">
        <v>36</v>
      </c>
      <c r="C29" s="141"/>
      <c r="D29" s="81">
        <f>SUM(D30:D33)</f>
        <v>1352970.09</v>
      </c>
      <c r="E29" s="81">
        <f>SUM(E30:E33)</f>
        <v>1374817.06</v>
      </c>
      <c r="F29" s="80">
        <f t="shared" si="1"/>
        <v>1352970.09</v>
      </c>
      <c r="G29" s="81">
        <f>SUM(G30:G33)</f>
        <v>21846.969999999943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73457.04</v>
      </c>
      <c r="E30" s="88">
        <v>125210.83</v>
      </c>
      <c r="F30" s="87">
        <f>D30</f>
        <v>73457.04</v>
      </c>
      <c r="G30" s="88">
        <f>E30-D30</f>
        <v>51753.79000000001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226536.17</v>
      </c>
      <c r="E31" s="88">
        <v>224358.02</v>
      </c>
      <c r="F31" s="87">
        <f t="shared" si="1"/>
        <v>226536.17</v>
      </c>
      <c r="G31" s="88">
        <f>E31-D31</f>
        <v>-2178.1500000000233</v>
      </c>
    </row>
    <row r="32" spans="1:7" ht="15">
      <c r="A32" s="34" t="s">
        <v>42</v>
      </c>
      <c r="B32" s="34" t="s">
        <v>40</v>
      </c>
      <c r="C32" s="205" t="s">
        <v>382</v>
      </c>
      <c r="D32" s="88">
        <v>408019.95</v>
      </c>
      <c r="E32" s="88">
        <v>396040.67</v>
      </c>
      <c r="F32" s="87">
        <f t="shared" si="1"/>
        <v>408019.95</v>
      </c>
      <c r="G32" s="88">
        <f>E32-D32</f>
        <v>-11979.280000000028</v>
      </c>
    </row>
    <row r="33" spans="1:9" ht="15.75" thickBot="1">
      <c r="A33" s="34" t="s">
        <v>41</v>
      </c>
      <c r="B33" s="34" t="s">
        <v>43</v>
      </c>
      <c r="C33" s="103" t="s">
        <v>301</v>
      </c>
      <c r="D33" s="88">
        <v>644956.93</v>
      </c>
      <c r="E33" s="88">
        <v>629207.54</v>
      </c>
      <c r="F33" s="87">
        <f t="shared" si="1"/>
        <v>644956.93</v>
      </c>
      <c r="G33" s="88">
        <f>E33-D33</f>
        <v>-15749.390000000014</v>
      </c>
      <c r="H33" s="105"/>
      <c r="I33" s="105"/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70525.22999999998</v>
      </c>
      <c r="E34" s="70"/>
      <c r="F34" s="70"/>
      <c r="G34" s="70"/>
      <c r="H34" s="66"/>
      <c r="I34" s="66"/>
      <c r="J34" s="105"/>
    </row>
    <row r="35" spans="1:9" s="71" customFormat="1" ht="15.75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24315.84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-83862.4027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24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1" spans="1:9" ht="28.5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s="179" customFormat="1" ht="15">
      <c r="A42" s="113" t="s">
        <v>47</v>
      </c>
      <c r="B42" s="342" t="s">
        <v>114</v>
      </c>
      <c r="C42" s="345"/>
      <c r="D42" s="115"/>
      <c r="E42" s="115"/>
      <c r="F42" s="356">
        <f>SUM(F43:G45)</f>
        <v>4791.8584</v>
      </c>
      <c r="G42" s="351"/>
      <c r="H42" s="119"/>
      <c r="I42" s="119"/>
    </row>
    <row r="43" spans="1:9" s="179" customFormat="1" ht="15">
      <c r="A43" s="34" t="s">
        <v>16</v>
      </c>
      <c r="B43" s="325" t="s">
        <v>363</v>
      </c>
      <c r="C43" s="327"/>
      <c r="D43" s="123" t="s">
        <v>352</v>
      </c>
      <c r="E43" s="123">
        <v>0.03</v>
      </c>
      <c r="F43" s="355">
        <v>2059.58</v>
      </c>
      <c r="G43" s="355"/>
      <c r="H43" s="119"/>
      <c r="I43" s="119"/>
    </row>
    <row r="44" spans="1:9" s="179" customFormat="1" ht="15">
      <c r="A44" s="34" t="s">
        <v>18</v>
      </c>
      <c r="B44" s="325" t="s">
        <v>628</v>
      </c>
      <c r="C44" s="327"/>
      <c r="D44" s="123" t="s">
        <v>352</v>
      </c>
      <c r="E44" s="123">
        <v>0.35</v>
      </c>
      <c r="F44" s="355">
        <v>2028</v>
      </c>
      <c r="G44" s="355"/>
      <c r="H44" s="119"/>
      <c r="I44" s="119"/>
    </row>
    <row r="45" spans="1:7" ht="12.75" customHeight="1">
      <c r="A45" s="34" t="s">
        <v>20</v>
      </c>
      <c r="B45" s="155" t="s">
        <v>207</v>
      </c>
      <c r="C45" s="156"/>
      <c r="D45" s="123"/>
      <c r="E45" s="123"/>
      <c r="F45" s="355">
        <f>E27*1%</f>
        <v>704.2784</v>
      </c>
      <c r="G45" s="355"/>
    </row>
    <row r="46" spans="1:9" ht="12.75" customHeight="1">
      <c r="A46" s="71"/>
      <c r="B46" s="71"/>
      <c r="C46" s="71"/>
      <c r="D46" s="71"/>
      <c r="E46" s="71"/>
      <c r="F46" s="71"/>
      <c r="G46" s="71"/>
      <c r="H46" s="71"/>
      <c r="I46" s="71"/>
    </row>
    <row r="47" spans="1:9" ht="12.75" customHeight="1">
      <c r="A47" s="71" t="s">
        <v>55</v>
      </c>
      <c r="B47" s="71"/>
      <c r="C47" s="71" t="s">
        <v>49</v>
      </c>
      <c r="D47" s="71"/>
      <c r="E47" s="71"/>
      <c r="F47" s="71" t="s">
        <v>93</v>
      </c>
      <c r="G47" s="71"/>
      <c r="H47" s="71"/>
      <c r="I47" s="71"/>
    </row>
    <row r="48" spans="1:9" ht="12.75" customHeight="1">
      <c r="A48" s="71"/>
      <c r="B48" s="71"/>
      <c r="C48" s="71"/>
      <c r="D48" s="71"/>
      <c r="E48" s="71"/>
      <c r="F48" s="132" t="s">
        <v>362</v>
      </c>
      <c r="G48" s="71"/>
      <c r="H48" s="71"/>
      <c r="I48" s="71"/>
    </row>
    <row r="49" spans="1:9" ht="12.75" customHeight="1">
      <c r="A49" s="71" t="s">
        <v>50</v>
      </c>
      <c r="B49" s="71"/>
      <c r="C49" s="71"/>
      <c r="D49" s="71"/>
      <c r="E49" s="71"/>
      <c r="F49" s="71"/>
      <c r="G49" s="71"/>
      <c r="H49" s="71"/>
      <c r="I49" s="71"/>
    </row>
    <row r="50" spans="1:9" ht="12.75" customHeight="1">
      <c r="A50" s="71"/>
      <c r="B50" s="71"/>
      <c r="C50" s="134" t="s">
        <v>51</v>
      </c>
      <c r="D50" s="71"/>
      <c r="E50" s="134"/>
      <c r="F50" s="134"/>
      <c r="G50" s="134"/>
      <c r="H50" s="71"/>
      <c r="I50" s="71"/>
    </row>
    <row r="51" spans="1:9" ht="15">
      <c r="A51" s="71"/>
      <c r="B51" s="71"/>
      <c r="C51" s="71"/>
      <c r="D51" s="71"/>
      <c r="E51" s="71"/>
      <c r="F51" s="71"/>
      <c r="G51" s="71"/>
      <c r="H51" s="71"/>
      <c r="I51" s="71"/>
    </row>
    <row r="52" s="71" customFormat="1" ht="15"/>
    <row r="53" spans="1:7" s="71" customFormat="1" ht="13.5" customHeight="1">
      <c r="A53" s="35"/>
      <c r="B53" s="162"/>
      <c r="C53" s="162"/>
      <c r="D53" s="162"/>
      <c r="E53" s="162"/>
      <c r="F53" s="35"/>
      <c r="G53" s="35"/>
    </row>
  </sheetData>
  <sheetProtection/>
  <mergeCells count="19">
    <mergeCell ref="B42:C42"/>
    <mergeCell ref="F45:G45"/>
    <mergeCell ref="A12:I12"/>
    <mergeCell ref="F42:G42"/>
    <mergeCell ref="A13:C13"/>
    <mergeCell ref="A34:C34"/>
    <mergeCell ref="F43:G43"/>
    <mergeCell ref="F44:G44"/>
    <mergeCell ref="B43:C43"/>
    <mergeCell ref="B44:C44"/>
    <mergeCell ref="A39:I39"/>
    <mergeCell ref="B41:C41"/>
    <mergeCell ref="A1:I1"/>
    <mergeCell ref="A2:I2"/>
    <mergeCell ref="A5:I5"/>
    <mergeCell ref="A10:I10"/>
    <mergeCell ref="A3:K3"/>
    <mergeCell ref="A11:I11"/>
    <mergeCell ref="F41:G41"/>
  </mergeCells>
  <printOptions/>
  <pageMargins left="0" right="0" top="0" bottom="0" header="0.31496062992125984" footer="0.31496062992125984"/>
  <pageSetup horizontalDpi="600" verticalDpi="600" orientation="portrait" paperSize="9" scale="9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K56"/>
  <sheetViews>
    <sheetView zoomScalePageLayoutView="0" workbookViewId="0" topLeftCell="A20">
      <selection activeCell="A17" sqref="A17"/>
    </sheetView>
  </sheetViews>
  <sheetFormatPr defaultColWidth="9.140625" defaultRowHeight="15" outlineLevelCol="1"/>
  <cols>
    <col min="1" max="1" width="4.7109375" style="35" customWidth="1"/>
    <col min="2" max="2" width="46.8515625" style="35" customWidth="1"/>
    <col min="3" max="3" width="13.00390625" style="35" customWidth="1"/>
    <col min="4" max="4" width="13.421875" style="35" customWidth="1"/>
    <col min="5" max="5" width="14.00390625" style="35" customWidth="1"/>
    <col min="6" max="6" width="12.71093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7.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.7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4.5" customHeight="1"/>
    <row r="7" spans="1:6" s="71" customFormat="1" ht="16.5" customHeight="1">
      <c r="A7" s="71" t="s">
        <v>2</v>
      </c>
      <c r="F7" s="132" t="s">
        <v>77</v>
      </c>
    </row>
    <row r="8" spans="1:6" s="71" customFormat="1" ht="15">
      <c r="A8" s="71" t="s">
        <v>3</v>
      </c>
      <c r="F8" s="132" t="s">
        <v>78</v>
      </c>
    </row>
    <row r="9" s="71" customFormat="1" ht="7.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334999.68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'[1]Высокая 4'!$G$36</f>
        <v>13760.64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'[1]Высокая 4'!$G$37</f>
        <v>166855.0642</v>
      </c>
      <c r="H16" s="66"/>
      <c r="I16" s="66"/>
    </row>
    <row r="17" s="71" customFormat="1" ht="8.25" customHeight="1"/>
    <row r="18" spans="1:7" s="78" customFormat="1" ht="52.5" customHeight="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30.75" customHeight="1">
      <c r="A19" s="79" t="s">
        <v>14</v>
      </c>
      <c r="B19" s="41" t="s">
        <v>15</v>
      </c>
      <c r="C19" s="141">
        <f>C20+C21+C22+C23</f>
        <v>9.53</v>
      </c>
      <c r="D19" s="80">
        <v>207991.56</v>
      </c>
      <c r="E19" s="80">
        <v>194889.46</v>
      </c>
      <c r="F19" s="80">
        <f>D19</f>
        <v>207991.56</v>
      </c>
      <c r="G19" s="81">
        <f aca="true" t="shared" si="0" ref="G19:G28">E19-D19</f>
        <v>-13102.100000000006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72895.25817418678</v>
      </c>
      <c r="E20" s="87">
        <f>E19*I20</f>
        <v>68303.33645330534</v>
      </c>
      <c r="F20" s="87">
        <f>D20</f>
        <v>72895.25817418678</v>
      </c>
      <c r="G20" s="88">
        <f t="shared" si="0"/>
        <v>-4591.921720881437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35574.631983210915</v>
      </c>
      <c r="E21" s="87">
        <f>E19*I21</f>
        <v>33333.66419727178</v>
      </c>
      <c r="F21" s="87">
        <f>D21</f>
        <v>35574.631983210915</v>
      </c>
      <c r="G21" s="88">
        <f t="shared" si="0"/>
        <v>-2240.9677859391377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35574.631983210915</v>
      </c>
      <c r="E22" s="87">
        <f>E19*I22</f>
        <v>33333.66419727178</v>
      </c>
      <c r="F22" s="87">
        <f>D22</f>
        <v>35574.631983210915</v>
      </c>
      <c r="G22" s="88">
        <f t="shared" si="0"/>
        <v>-2240.9677859391377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63947.03785939141</v>
      </c>
      <c r="E23" s="87">
        <f>E19*I23</f>
        <v>59918.795152151106</v>
      </c>
      <c r="F23" s="87">
        <f>D23</f>
        <v>63947.03785939141</v>
      </c>
      <c r="G23" s="88">
        <f t="shared" si="0"/>
        <v>-4028.2427072403007</v>
      </c>
      <c r="H23" s="152">
        <f>C23</f>
        <v>2.93</v>
      </c>
      <c r="I23" s="71">
        <f>H23/H19</f>
        <v>0.30745015739769155</v>
      </c>
    </row>
    <row r="24" spans="1:7" ht="15">
      <c r="A24" s="41" t="s">
        <v>25</v>
      </c>
      <c r="B24" s="146" t="s">
        <v>141</v>
      </c>
      <c r="C24" s="101">
        <v>0</v>
      </c>
      <c r="D24" s="81">
        <v>0</v>
      </c>
      <c r="E24" s="81">
        <v>0</v>
      </c>
      <c r="F24" s="81">
        <v>0</v>
      </c>
      <c r="G24" s="81">
        <f>E24-D24</f>
        <v>0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>D25</f>
        <v>0</v>
      </c>
      <c r="G25" s="81">
        <f t="shared" si="0"/>
        <v>0</v>
      </c>
    </row>
    <row r="26" spans="1:7" ht="15">
      <c r="A26" s="41" t="s">
        <v>29</v>
      </c>
      <c r="B26" s="146" t="s">
        <v>170</v>
      </c>
      <c r="C26" s="147"/>
      <c r="D26" s="81">
        <v>0</v>
      </c>
      <c r="E26" s="81">
        <v>0</v>
      </c>
      <c r="F26" s="81">
        <f>D26</f>
        <v>0</v>
      </c>
      <c r="G26" s="81">
        <f t="shared" si="0"/>
        <v>0</v>
      </c>
    </row>
    <row r="27" spans="1:7" ht="15">
      <c r="A27" s="41" t="s">
        <v>31</v>
      </c>
      <c r="B27" s="146" t="s">
        <v>119</v>
      </c>
      <c r="C27" s="101">
        <v>1.8</v>
      </c>
      <c r="D27" s="81">
        <v>39262.32</v>
      </c>
      <c r="E27" s="81">
        <v>36810.9</v>
      </c>
      <c r="F27" s="91">
        <f>F42</f>
        <v>157973.109</v>
      </c>
      <c r="G27" s="81">
        <f t="shared" si="0"/>
        <v>-2451.4199999999983</v>
      </c>
    </row>
    <row r="28" spans="1:7" ht="15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91">
        <v>0</v>
      </c>
      <c r="G28" s="81">
        <f t="shared" si="0"/>
        <v>0</v>
      </c>
    </row>
    <row r="29" spans="1:7" ht="15">
      <c r="A29" s="41" t="s">
        <v>35</v>
      </c>
      <c r="B29" s="140" t="s">
        <v>36</v>
      </c>
      <c r="C29" s="101"/>
      <c r="D29" s="81">
        <f>SUM(D30:D33)</f>
        <v>951189.46</v>
      </c>
      <c r="E29" s="81">
        <f>SUM(E30:E33)</f>
        <v>861930.25</v>
      </c>
      <c r="F29" s="81">
        <f>SUM(F30:F33)</f>
        <v>951189.46</v>
      </c>
      <c r="G29" s="81">
        <f>SUM(G30:G33)</f>
        <v>-89259.21000000002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18838.53</v>
      </c>
      <c r="E30" s="88">
        <v>17659.53</v>
      </c>
      <c r="F30" s="88">
        <f>D30</f>
        <v>18838.53</v>
      </c>
      <c r="G30" s="88">
        <f>E30-D30</f>
        <v>-1179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314691.84</v>
      </c>
      <c r="E31" s="88">
        <v>267588.77</v>
      </c>
      <c r="F31" s="88">
        <f>D31</f>
        <v>314691.84</v>
      </c>
      <c r="G31" s="88">
        <f>E31-D31</f>
        <v>-47103.07000000001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ht="15.75" thickBot="1">
      <c r="A33" s="34" t="s">
        <v>41</v>
      </c>
      <c r="B33" s="34" t="s">
        <v>43</v>
      </c>
      <c r="C33" s="103" t="s">
        <v>301</v>
      </c>
      <c r="D33" s="88">
        <v>617659.09</v>
      </c>
      <c r="E33" s="88">
        <v>576681.95</v>
      </c>
      <c r="F33" s="88">
        <f>D33</f>
        <v>617659.09</v>
      </c>
      <c r="G33" s="88">
        <f>E33-D33</f>
        <v>-40977.140000000014</v>
      </c>
      <c r="H33" s="105"/>
      <c r="I33" s="105"/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439812.41000000015</v>
      </c>
      <c r="E34" s="70"/>
      <c r="F34" s="70"/>
      <c r="G34" s="70"/>
      <c r="H34" s="66"/>
      <c r="I34" s="66"/>
      <c r="J34" s="105"/>
    </row>
    <row r="35" spans="1:9" s="71" customFormat="1" ht="15.75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13760.64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45692.85519999999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32.25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1" spans="1:9" ht="28.5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s="179" customFormat="1" ht="28.5" customHeight="1">
      <c r="A42" s="113" t="s">
        <v>47</v>
      </c>
      <c r="B42" s="342" t="s">
        <v>114</v>
      </c>
      <c r="C42" s="345"/>
      <c r="D42" s="115"/>
      <c r="E42" s="115"/>
      <c r="F42" s="356">
        <f>SUM(F43:G51)</f>
        <v>157973.109</v>
      </c>
      <c r="G42" s="351"/>
      <c r="H42" s="119"/>
      <c r="I42" s="119"/>
    </row>
    <row r="43" spans="1:9" s="179" customFormat="1" ht="15">
      <c r="A43" s="34" t="s">
        <v>16</v>
      </c>
      <c r="B43" s="358" t="s">
        <v>169</v>
      </c>
      <c r="C43" s="379"/>
      <c r="D43" s="123" t="s">
        <v>265</v>
      </c>
      <c r="E43" s="123">
        <v>400</v>
      </c>
      <c r="F43" s="355">
        <v>4104</v>
      </c>
      <c r="G43" s="355"/>
      <c r="H43" s="119"/>
      <c r="I43" s="119"/>
    </row>
    <row r="44" spans="1:9" s="179" customFormat="1" ht="36.75" customHeight="1">
      <c r="A44" s="34" t="s">
        <v>18</v>
      </c>
      <c r="B44" s="358" t="s">
        <v>375</v>
      </c>
      <c r="C44" s="379"/>
      <c r="D44" s="123" t="s">
        <v>177</v>
      </c>
      <c r="E44" s="123">
        <v>200</v>
      </c>
      <c r="F44" s="355">
        <v>10000</v>
      </c>
      <c r="G44" s="355"/>
      <c r="H44" s="119"/>
      <c r="I44" s="119"/>
    </row>
    <row r="45" spans="1:9" s="179" customFormat="1" ht="15" customHeight="1">
      <c r="A45" s="34" t="s">
        <v>20</v>
      </c>
      <c r="B45" s="358" t="s">
        <v>628</v>
      </c>
      <c r="C45" s="379"/>
      <c r="D45" s="123" t="s">
        <v>352</v>
      </c>
      <c r="E45" s="126">
        <v>0.191</v>
      </c>
      <c r="F45" s="355">
        <v>5715</v>
      </c>
      <c r="G45" s="355"/>
      <c r="H45" s="119"/>
      <c r="I45" s="119"/>
    </row>
    <row r="46" spans="1:9" s="179" customFormat="1" ht="19.5" customHeight="1">
      <c r="A46" s="34" t="s">
        <v>22</v>
      </c>
      <c r="B46" s="358" t="s">
        <v>631</v>
      </c>
      <c r="C46" s="379"/>
      <c r="D46" s="123" t="s">
        <v>173</v>
      </c>
      <c r="E46" s="123">
        <v>8</v>
      </c>
      <c r="F46" s="355">
        <v>76400</v>
      </c>
      <c r="G46" s="355"/>
      <c r="H46" s="119"/>
      <c r="I46" s="119"/>
    </row>
    <row r="47" spans="1:9" s="179" customFormat="1" ht="14.25" customHeight="1">
      <c r="A47" s="34" t="s">
        <v>24</v>
      </c>
      <c r="B47" s="358" t="s">
        <v>632</v>
      </c>
      <c r="C47" s="379"/>
      <c r="D47" s="123" t="s">
        <v>173</v>
      </c>
      <c r="E47" s="123">
        <v>8</v>
      </c>
      <c r="F47" s="355">
        <v>3200</v>
      </c>
      <c r="G47" s="355"/>
      <c r="H47" s="119"/>
      <c r="I47" s="119"/>
    </row>
    <row r="48" spans="1:9" s="179" customFormat="1" ht="15.75" customHeight="1">
      <c r="A48" s="34" t="s">
        <v>106</v>
      </c>
      <c r="B48" s="358" t="s">
        <v>652</v>
      </c>
      <c r="C48" s="379"/>
      <c r="D48" s="123" t="s">
        <v>173</v>
      </c>
      <c r="E48" s="123">
        <v>2</v>
      </c>
      <c r="F48" s="355">
        <v>39986</v>
      </c>
      <c r="G48" s="355"/>
      <c r="H48" s="119"/>
      <c r="I48" s="119"/>
    </row>
    <row r="49" spans="1:9" s="179" customFormat="1" ht="17.25" customHeight="1">
      <c r="A49" s="34" t="s">
        <v>107</v>
      </c>
      <c r="B49" s="358" t="s">
        <v>653</v>
      </c>
      <c r="C49" s="379"/>
      <c r="D49" s="123" t="s">
        <v>173</v>
      </c>
      <c r="E49" s="123">
        <v>8</v>
      </c>
      <c r="F49" s="355">
        <v>8400</v>
      </c>
      <c r="G49" s="355"/>
      <c r="H49" s="119"/>
      <c r="I49" s="119"/>
    </row>
    <row r="50" spans="1:9" s="179" customFormat="1" ht="17.25" customHeight="1">
      <c r="A50" s="34" t="s">
        <v>120</v>
      </c>
      <c r="B50" s="325" t="s">
        <v>663</v>
      </c>
      <c r="C50" s="350"/>
      <c r="D50" s="123"/>
      <c r="E50" s="159" t="s">
        <v>286</v>
      </c>
      <c r="F50" s="344">
        <v>9800</v>
      </c>
      <c r="G50" s="344"/>
      <c r="H50" s="119"/>
      <c r="I50" s="119"/>
    </row>
    <row r="51" spans="1:7" ht="12.75" customHeight="1">
      <c r="A51" s="34" t="s">
        <v>121</v>
      </c>
      <c r="B51" s="155" t="s">
        <v>207</v>
      </c>
      <c r="C51" s="156"/>
      <c r="D51" s="123"/>
      <c r="E51" s="123"/>
      <c r="F51" s="355">
        <f>E27*1%</f>
        <v>368.10900000000004</v>
      </c>
      <c r="G51" s="355"/>
    </row>
    <row r="52" spans="1:9" ht="12.75" customHeight="1">
      <c r="A52" s="71"/>
      <c r="B52" s="71"/>
      <c r="C52" s="71"/>
      <c r="D52" s="71"/>
      <c r="E52" s="71"/>
      <c r="F52" s="71"/>
      <c r="G52" s="71"/>
      <c r="H52" s="71"/>
      <c r="I52" s="71"/>
    </row>
    <row r="53" spans="1:6" s="71" customFormat="1" ht="15">
      <c r="A53" s="71" t="s">
        <v>55</v>
      </c>
      <c r="C53" s="71" t="s">
        <v>49</v>
      </c>
      <c r="F53" s="71" t="s">
        <v>93</v>
      </c>
    </row>
    <row r="54" s="71" customFormat="1" ht="15">
      <c r="F54" s="132" t="s">
        <v>296</v>
      </c>
    </row>
    <row r="55" s="71" customFormat="1" ht="13.5" customHeight="1">
      <c r="A55" s="71" t="s">
        <v>50</v>
      </c>
    </row>
    <row r="56" spans="3:7" s="71" customFormat="1" ht="15">
      <c r="C56" s="134" t="s">
        <v>51</v>
      </c>
      <c r="E56" s="134"/>
      <c r="F56" s="134"/>
      <c r="G56" s="134"/>
    </row>
    <row r="57" s="71" customFormat="1" ht="12" customHeight="1"/>
    <row r="58" s="71" customFormat="1" ht="15"/>
    <row r="59" s="71" customFormat="1" ht="15"/>
  </sheetData>
  <sheetProtection/>
  <mergeCells count="31">
    <mergeCell ref="B42:C42"/>
    <mergeCell ref="A11:I11"/>
    <mergeCell ref="B43:C43"/>
    <mergeCell ref="B44:C44"/>
    <mergeCell ref="B41:C41"/>
    <mergeCell ref="F41:G41"/>
    <mergeCell ref="A13:C13"/>
    <mergeCell ref="A34:C34"/>
    <mergeCell ref="A39:I39"/>
    <mergeCell ref="F45:G45"/>
    <mergeCell ref="F48:G48"/>
    <mergeCell ref="F46:G46"/>
    <mergeCell ref="B45:C45"/>
    <mergeCell ref="F43:G43"/>
    <mergeCell ref="F44:G44"/>
    <mergeCell ref="F51:G51"/>
    <mergeCell ref="F42:G42"/>
    <mergeCell ref="F49:G49"/>
    <mergeCell ref="B48:C48"/>
    <mergeCell ref="B49:C49"/>
    <mergeCell ref="F47:G47"/>
    <mergeCell ref="B50:C50"/>
    <mergeCell ref="F50:G50"/>
    <mergeCell ref="B46:C46"/>
    <mergeCell ref="B47:C47"/>
    <mergeCell ref="A1:I1"/>
    <mergeCell ref="A2:I2"/>
    <mergeCell ref="A5:I5"/>
    <mergeCell ref="A10:I10"/>
    <mergeCell ref="A3:K3"/>
    <mergeCell ref="A12:I12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K49"/>
  <sheetViews>
    <sheetView zoomScalePageLayoutView="0" workbookViewId="0" topLeftCell="A1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2.8515625" style="35" customWidth="1"/>
    <col min="3" max="4" width="13.57421875" style="35" customWidth="1"/>
    <col min="5" max="5" width="12.140625" style="35" customWidth="1"/>
    <col min="6" max="6" width="12.710937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6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6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5.25" customHeight="1"/>
    <row r="7" spans="1:6" s="71" customFormat="1" ht="16.5" customHeight="1">
      <c r="A7" s="71" t="s">
        <v>2</v>
      </c>
      <c r="F7" s="132" t="s">
        <v>79</v>
      </c>
    </row>
    <row r="8" spans="1:6" s="71" customFormat="1" ht="15">
      <c r="A8" s="71" t="s">
        <v>3</v>
      </c>
      <c r="F8" s="132" t="s">
        <v>80</v>
      </c>
    </row>
    <row r="9" s="71" customFormat="1" ht="6.7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598</v>
      </c>
      <c r="B13" s="320"/>
      <c r="C13" s="320"/>
      <c r="D13" s="50">
        <v>2465.18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599</v>
      </c>
      <c r="B15" s="68"/>
      <c r="C15" s="68"/>
      <c r="D15" s="73"/>
      <c r="E15" s="74"/>
      <c r="F15" s="74"/>
      <c r="G15" s="151">
        <f>'[1]Пухова 15'!$G$36</f>
        <v>5572.86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'[1]Пухова 15'!$G$37</f>
        <v>-37640.305100000005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29.25">
      <c r="A19" s="79" t="s">
        <v>14</v>
      </c>
      <c r="B19" s="41" t="s">
        <v>15</v>
      </c>
      <c r="C19" s="141">
        <f>C20+C21+C22+C23</f>
        <v>9.01</v>
      </c>
      <c r="D19" s="80">
        <v>40595.14</v>
      </c>
      <c r="E19" s="80">
        <v>40714.43</v>
      </c>
      <c r="F19" s="80">
        <f>D19</f>
        <v>40595.14</v>
      </c>
      <c r="G19" s="81">
        <f aca="true" t="shared" si="0" ref="G19:G28">E19-D19</f>
        <v>119.29000000000087</v>
      </c>
      <c r="H19" s="152">
        <f>C19</f>
        <v>9.01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15048.586859045505</v>
      </c>
      <c r="E20" s="87">
        <f>E19*I20</f>
        <v>15092.807569367369</v>
      </c>
      <c r="F20" s="87">
        <f>D20</f>
        <v>15048.586859045505</v>
      </c>
      <c r="G20" s="88">
        <f t="shared" si="0"/>
        <v>44.22071032186432</v>
      </c>
      <c r="H20" s="152">
        <f>C20</f>
        <v>3.34</v>
      </c>
      <c r="I20" s="71">
        <f>H20/H19</f>
        <v>0.3706992230854606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7344.070832408434</v>
      </c>
      <c r="E21" s="87">
        <f>E19*I21</f>
        <v>7365.6515982241945</v>
      </c>
      <c r="F21" s="87">
        <f>D21</f>
        <v>7344.070832408434</v>
      </c>
      <c r="G21" s="88">
        <f t="shared" si="0"/>
        <v>21.58076581576006</v>
      </c>
      <c r="H21" s="152">
        <f>C21</f>
        <v>1.63</v>
      </c>
      <c r="I21" s="71">
        <f>H21/H19</f>
        <v>0.1809100998890122</v>
      </c>
    </row>
    <row r="22" spans="1:9" s="71" customFormat="1" ht="15">
      <c r="A22" s="85" t="s">
        <v>20</v>
      </c>
      <c r="B22" s="34" t="s">
        <v>21</v>
      </c>
      <c r="C22" s="103">
        <v>1.11</v>
      </c>
      <c r="D22" s="87">
        <f>D19*I22</f>
        <v>5001.177069922309</v>
      </c>
      <c r="E22" s="87">
        <f>E19*I22</f>
        <v>5015.873174250833</v>
      </c>
      <c r="F22" s="87">
        <f>D22</f>
        <v>5001.177069922309</v>
      </c>
      <c r="G22" s="88">
        <f t="shared" si="0"/>
        <v>14.696104328523688</v>
      </c>
      <c r="H22" s="152">
        <f>C22</f>
        <v>1.11</v>
      </c>
      <c r="I22" s="71">
        <f>H22/H19</f>
        <v>0.12319644839067703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13201.305238623752</v>
      </c>
      <c r="E23" s="87">
        <f>E19*I23</f>
        <v>13240.097658157605</v>
      </c>
      <c r="F23" s="87">
        <f>D23</f>
        <v>13201.305238623752</v>
      </c>
      <c r="G23" s="88">
        <f t="shared" si="0"/>
        <v>38.79241953385281</v>
      </c>
      <c r="H23" s="152">
        <f>C23</f>
        <v>2.93</v>
      </c>
      <c r="I23" s="71">
        <f>H23/H19</f>
        <v>0.3251942286348502</v>
      </c>
    </row>
    <row r="24" spans="1:7" ht="15">
      <c r="A24" s="41" t="s">
        <v>25</v>
      </c>
      <c r="B24" s="146" t="s">
        <v>141</v>
      </c>
      <c r="C24" s="101">
        <v>0</v>
      </c>
      <c r="D24" s="81">
        <v>0</v>
      </c>
      <c r="E24" s="81">
        <v>0</v>
      </c>
      <c r="F24" s="81">
        <v>0</v>
      </c>
      <c r="G24" s="81">
        <f>E24-D24</f>
        <v>0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>D25</f>
        <v>0</v>
      </c>
      <c r="G25" s="81">
        <f t="shared" si="0"/>
        <v>0</v>
      </c>
    </row>
    <row r="26" spans="1:7" ht="15">
      <c r="A26" s="41" t="s">
        <v>29</v>
      </c>
      <c r="B26" s="146" t="s">
        <v>170</v>
      </c>
      <c r="C26" s="147">
        <v>39.62</v>
      </c>
      <c r="D26" s="81">
        <v>0</v>
      </c>
      <c r="E26" s="81">
        <v>0</v>
      </c>
      <c r="F26" s="81">
        <f>D26</f>
        <v>0</v>
      </c>
      <c r="G26" s="81">
        <f t="shared" si="0"/>
        <v>0</v>
      </c>
    </row>
    <row r="27" spans="1:7" ht="15">
      <c r="A27" s="41" t="s">
        <v>31</v>
      </c>
      <c r="B27" s="146" t="s">
        <v>119</v>
      </c>
      <c r="C27" s="101">
        <v>1.61</v>
      </c>
      <c r="D27" s="81">
        <v>7183.2</v>
      </c>
      <c r="E27" s="81">
        <v>7279.42</v>
      </c>
      <c r="F27" s="91">
        <f>F42</f>
        <v>1192.7942</v>
      </c>
      <c r="G27" s="81">
        <f t="shared" si="0"/>
        <v>96.22000000000025</v>
      </c>
    </row>
    <row r="28" spans="1:7" ht="15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91">
        <v>0</v>
      </c>
      <c r="G28" s="81">
        <f t="shared" si="0"/>
        <v>0</v>
      </c>
    </row>
    <row r="29" spans="1:7" ht="15">
      <c r="A29" s="41" t="s">
        <v>35</v>
      </c>
      <c r="B29" s="140" t="s">
        <v>36</v>
      </c>
      <c r="C29" s="101"/>
      <c r="D29" s="81">
        <f>SUM(D30:D33)</f>
        <v>26401.51</v>
      </c>
      <c r="E29" s="81">
        <f>SUM(E30:E33)</f>
        <v>27527</v>
      </c>
      <c r="F29" s="81">
        <f>SUM(F30:F33)</f>
        <v>26401.51</v>
      </c>
      <c r="G29" s="81">
        <f>SUM(G30:G33)</f>
        <v>1125.4900000000002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1771.98</v>
      </c>
      <c r="E30" s="88">
        <v>1795.79</v>
      </c>
      <c r="F30" s="88">
        <f>D30</f>
        <v>1771.98</v>
      </c>
      <c r="G30" s="88">
        <f>E30-D30</f>
        <v>23.809999999999945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24629.53</v>
      </c>
      <c r="E31" s="88">
        <v>25731.21</v>
      </c>
      <c r="F31" s="88">
        <f>D31</f>
        <v>24629.53</v>
      </c>
      <c r="G31" s="88">
        <f>E31-D31</f>
        <v>1101.6800000000003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ht="15.75" thickBot="1">
      <c r="A33" s="34" t="s">
        <v>41</v>
      </c>
      <c r="B33" s="34" t="s">
        <v>43</v>
      </c>
      <c r="C33" s="103"/>
      <c r="D33" s="88">
        <v>0</v>
      </c>
      <c r="E33" s="88">
        <v>0</v>
      </c>
      <c r="F33" s="88">
        <f>D33</f>
        <v>0</v>
      </c>
      <c r="G33" s="88">
        <f>E33-D33</f>
        <v>0</v>
      </c>
      <c r="H33" s="105"/>
      <c r="I33" s="105"/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1124.1800000000003</v>
      </c>
      <c r="E34" s="70"/>
      <c r="F34" s="70"/>
      <c r="G34" s="70"/>
      <c r="H34" s="66"/>
      <c r="I34" s="66"/>
      <c r="J34" s="105"/>
    </row>
    <row r="35" spans="1:9" s="71" customFormat="1" ht="15.75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5572.86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-31553.679300000007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24.75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0" ht="4.5" customHeight="1"/>
    <row r="41" spans="1:9" ht="26.25" customHeight="1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ht="15">
      <c r="A42" s="113" t="s">
        <v>47</v>
      </c>
      <c r="B42" s="342" t="s">
        <v>114</v>
      </c>
      <c r="C42" s="345"/>
      <c r="D42" s="115"/>
      <c r="E42" s="115"/>
      <c r="F42" s="356">
        <f>SUM(F43:G44)</f>
        <v>1192.7942</v>
      </c>
      <c r="G42" s="351"/>
      <c r="H42" s="119"/>
      <c r="I42" s="119"/>
    </row>
    <row r="43" spans="1:9" ht="28.5" customHeight="1">
      <c r="A43" s="34" t="s">
        <v>16</v>
      </c>
      <c r="B43" s="325" t="s">
        <v>663</v>
      </c>
      <c r="C43" s="350"/>
      <c r="D43" s="115"/>
      <c r="E43" s="159" t="s">
        <v>286</v>
      </c>
      <c r="F43" s="344">
        <v>1120</v>
      </c>
      <c r="G43" s="344"/>
      <c r="H43" s="119"/>
      <c r="I43" s="119"/>
    </row>
    <row r="44" spans="1:9" s="179" customFormat="1" ht="15">
      <c r="A44" s="34" t="s">
        <v>18</v>
      </c>
      <c r="B44" s="155" t="s">
        <v>207</v>
      </c>
      <c r="C44" s="156"/>
      <c r="D44" s="123"/>
      <c r="E44" s="123"/>
      <c r="F44" s="380">
        <f>E27*1%</f>
        <v>72.7942</v>
      </c>
      <c r="G44" s="380"/>
      <c r="H44" s="35"/>
      <c r="I44" s="35"/>
    </row>
    <row r="45" spans="1:9" s="119" customFormat="1" ht="14.25" customHeight="1">
      <c r="A45" s="71"/>
      <c r="B45" s="71"/>
      <c r="C45" s="71"/>
      <c r="D45" s="71"/>
      <c r="E45" s="71"/>
      <c r="F45" s="71"/>
      <c r="G45" s="71"/>
      <c r="H45" s="71"/>
      <c r="I45" s="71"/>
    </row>
    <row r="46" spans="1:9" ht="14.25" customHeight="1">
      <c r="A46" s="71" t="s">
        <v>55</v>
      </c>
      <c r="B46" s="71"/>
      <c r="C46" s="71" t="s">
        <v>49</v>
      </c>
      <c r="D46" s="71"/>
      <c r="E46" s="71"/>
      <c r="F46" s="71" t="s">
        <v>93</v>
      </c>
      <c r="G46" s="71"/>
      <c r="H46" s="71"/>
      <c r="I46" s="71"/>
    </row>
    <row r="47" spans="1:9" ht="14.25" customHeight="1">
      <c r="A47" s="71"/>
      <c r="B47" s="71"/>
      <c r="C47" s="71"/>
      <c r="D47" s="71"/>
      <c r="E47" s="71"/>
      <c r="F47" s="132" t="s">
        <v>296</v>
      </c>
      <c r="G47" s="71"/>
      <c r="H47" s="71"/>
      <c r="I47" s="71"/>
    </row>
    <row r="48" spans="1:9" ht="14.25" customHeight="1">
      <c r="A48" s="71" t="s">
        <v>50</v>
      </c>
      <c r="B48" s="71"/>
      <c r="C48" s="71"/>
      <c r="D48" s="71"/>
      <c r="E48" s="71"/>
      <c r="F48" s="71"/>
      <c r="G48" s="71"/>
      <c r="H48" s="71"/>
      <c r="I48" s="71"/>
    </row>
    <row r="49" spans="3:7" s="71" customFormat="1" ht="15">
      <c r="C49" s="134" t="s">
        <v>51</v>
      </c>
      <c r="E49" s="134"/>
      <c r="F49" s="134"/>
      <c r="G49" s="134"/>
    </row>
    <row r="50" s="71" customFormat="1" ht="15"/>
  </sheetData>
  <sheetProtection/>
  <mergeCells count="17">
    <mergeCell ref="A13:C13"/>
    <mergeCell ref="A12:I12"/>
    <mergeCell ref="A11:I11"/>
    <mergeCell ref="A1:I1"/>
    <mergeCell ref="A2:I2"/>
    <mergeCell ref="A5:I5"/>
    <mergeCell ref="A10:I10"/>
    <mergeCell ref="A3:K3"/>
    <mergeCell ref="F44:G44"/>
    <mergeCell ref="A34:C34"/>
    <mergeCell ref="A39:I39"/>
    <mergeCell ref="B41:C41"/>
    <mergeCell ref="F41:G41"/>
    <mergeCell ref="B42:C42"/>
    <mergeCell ref="F42:G42"/>
    <mergeCell ref="B43:C43"/>
    <mergeCell ref="F43:G4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P58"/>
  <sheetViews>
    <sheetView zoomScale="98" zoomScaleNormal="98" zoomScalePageLayoutView="0" workbookViewId="0" topLeftCell="A22">
      <selection activeCell="A17" sqref="A17"/>
    </sheetView>
  </sheetViews>
  <sheetFormatPr defaultColWidth="9.140625" defaultRowHeight="15" outlineLevelCol="1"/>
  <cols>
    <col min="1" max="1" width="5.00390625" style="35" customWidth="1"/>
    <col min="2" max="2" width="47.28125" style="35" customWidth="1"/>
    <col min="3" max="3" width="13.57421875" style="35" customWidth="1"/>
    <col min="4" max="4" width="13.7109375" style="35" customWidth="1"/>
    <col min="5" max="5" width="13.57421875" style="35" customWidth="1"/>
    <col min="6" max="6" width="14.140625" style="35" customWidth="1"/>
    <col min="7" max="7" width="13.421875" style="35" customWidth="1"/>
    <col min="8" max="8" width="10.421875" style="35" hidden="1" customWidth="1" outlineLevel="1"/>
    <col min="9" max="9" width="12.2812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140625" style="35" customWidth="1"/>
    <col min="15" max="15" width="13.28125" style="35" customWidth="1"/>
    <col min="16" max="16" width="11.421875" style="35" bestFit="1" customWidth="1"/>
    <col min="17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5.2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4.5" customHeight="1"/>
    <row r="7" spans="1:6" s="71" customFormat="1" ht="16.5" customHeight="1">
      <c r="A7" s="71" t="s">
        <v>2</v>
      </c>
      <c r="F7" s="132" t="s">
        <v>81</v>
      </c>
    </row>
    <row r="8" spans="1:16" s="71" customFormat="1" ht="15">
      <c r="A8" s="71" t="s">
        <v>3</v>
      </c>
      <c r="F8" s="132" t="s">
        <v>371</v>
      </c>
      <c r="H8" s="71" t="s">
        <v>370</v>
      </c>
      <c r="I8" s="213">
        <v>128.5</v>
      </c>
      <c r="P8" s="131"/>
    </row>
    <row r="9" s="71" customFormat="1" ht="3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19741.4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'[1]Пухова 17'!$G$36</f>
        <v>38596.57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'[1]Пухова 17'!$G$37</f>
        <v>-317726.82289999997</v>
      </c>
      <c r="H16" s="66"/>
      <c r="I16" s="66"/>
    </row>
    <row r="17" s="71" customFormat="1" ht="6.75" customHeight="1"/>
    <row r="18" spans="1:7" s="78" customFormat="1" ht="52.5" customHeight="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29.25">
      <c r="A19" s="79" t="s">
        <v>14</v>
      </c>
      <c r="B19" s="41" t="s">
        <v>15</v>
      </c>
      <c r="C19" s="141">
        <f>C20+C21+C22+C23</f>
        <v>9.53</v>
      </c>
      <c r="D19" s="80">
        <v>380349.27</v>
      </c>
      <c r="E19" s="80">
        <v>365389.7</v>
      </c>
      <c r="F19" s="80">
        <f aca="true" t="shared" si="0" ref="F19:F26">D19</f>
        <v>380349.27</v>
      </c>
      <c r="G19" s="81">
        <f aca="true" t="shared" si="1" ref="G19:G28">E19-D19</f>
        <v>-14959.570000000007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133301.84279118574</v>
      </c>
      <c r="E20" s="87">
        <f>E19*I20</f>
        <v>128058.9294858342</v>
      </c>
      <c r="F20" s="87">
        <f t="shared" si="0"/>
        <v>133301.84279118574</v>
      </c>
      <c r="G20" s="88">
        <f t="shared" si="1"/>
        <v>-5242.91330535154</v>
      </c>
      <c r="H20" s="152">
        <f>C20</f>
        <v>3.34</v>
      </c>
      <c r="I20" s="71">
        <f>H20/H19</f>
        <v>0.35047219307450156</v>
      </c>
    </row>
    <row r="21" spans="1:9" s="71" customFormat="1" ht="15" customHeight="1">
      <c r="A21" s="85" t="s">
        <v>18</v>
      </c>
      <c r="B21" s="34" t="s">
        <v>19</v>
      </c>
      <c r="C21" s="103">
        <v>1.63</v>
      </c>
      <c r="D21" s="87">
        <f>D19*I21</f>
        <v>65054.492140608614</v>
      </c>
      <c r="E21" s="87">
        <f>E19*I21</f>
        <v>62495.82486883526</v>
      </c>
      <c r="F21" s="87">
        <f t="shared" si="0"/>
        <v>65054.492140608614</v>
      </c>
      <c r="G21" s="88">
        <f t="shared" si="1"/>
        <v>-2558.6672717733527</v>
      </c>
      <c r="H21" s="152">
        <f>C21</f>
        <v>1.63</v>
      </c>
      <c r="I21" s="71">
        <f>H21/H19</f>
        <v>0.17103882476390347</v>
      </c>
    </row>
    <row r="22" spans="1:9" s="71" customFormat="1" ht="15" customHeight="1">
      <c r="A22" s="85" t="s">
        <v>20</v>
      </c>
      <c r="B22" s="34" t="s">
        <v>21</v>
      </c>
      <c r="C22" s="103">
        <v>1.63</v>
      </c>
      <c r="D22" s="87">
        <f>D19*I22</f>
        <v>65054.492140608614</v>
      </c>
      <c r="E22" s="87">
        <f>E19*I22</f>
        <v>62495.82486883526</v>
      </c>
      <c r="F22" s="87">
        <f t="shared" si="0"/>
        <v>65054.492140608614</v>
      </c>
      <c r="G22" s="88">
        <f t="shared" si="1"/>
        <v>-2558.6672717733527</v>
      </c>
      <c r="H22" s="152">
        <f>C22</f>
        <v>1.63</v>
      </c>
      <c r="I22" s="71">
        <f>H22/H19</f>
        <v>0.17103882476390347</v>
      </c>
    </row>
    <row r="23" spans="1:9" s="71" customFormat="1" ht="15" customHeight="1">
      <c r="A23" s="85" t="s">
        <v>22</v>
      </c>
      <c r="B23" s="34" t="s">
        <v>23</v>
      </c>
      <c r="C23" s="103">
        <v>2.93</v>
      </c>
      <c r="D23" s="87">
        <f>D19*I23</f>
        <v>116938.44292759709</v>
      </c>
      <c r="E23" s="87">
        <f>E19*I23</f>
        <v>112339.1207764953</v>
      </c>
      <c r="F23" s="87">
        <f t="shared" si="0"/>
        <v>116938.44292759709</v>
      </c>
      <c r="G23" s="88">
        <f t="shared" si="1"/>
        <v>-4599.322151101791</v>
      </c>
      <c r="H23" s="152">
        <f>C23</f>
        <v>2.93</v>
      </c>
      <c r="I23" s="71">
        <f>H23/H19</f>
        <v>0.30745015739769155</v>
      </c>
    </row>
    <row r="24" spans="1:7" ht="25.5" customHeight="1">
      <c r="A24" s="41" t="s">
        <v>25</v>
      </c>
      <c r="B24" s="146" t="s">
        <v>277</v>
      </c>
      <c r="C24" s="46" t="s">
        <v>559</v>
      </c>
      <c r="D24" s="81">
        <v>28080</v>
      </c>
      <c r="E24" s="81">
        <v>27363.96</v>
      </c>
      <c r="F24" s="81">
        <f>D24</f>
        <v>28080</v>
      </c>
      <c r="G24" s="81">
        <f>E24-D24</f>
        <v>-716.0400000000009</v>
      </c>
    </row>
    <row r="25" spans="1:7" ht="15" customHeight="1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7" ht="15" customHeight="1">
      <c r="A26" s="41" t="s">
        <v>29</v>
      </c>
      <c r="B26" s="146" t="s">
        <v>170</v>
      </c>
      <c r="C26" s="214" t="s">
        <v>314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</row>
    <row r="27" spans="1:13" ht="15" customHeight="1">
      <c r="A27" s="41" t="s">
        <v>31</v>
      </c>
      <c r="B27" s="146" t="s">
        <v>119</v>
      </c>
      <c r="C27" s="101">
        <v>1.8</v>
      </c>
      <c r="D27" s="81">
        <v>69491.52</v>
      </c>
      <c r="E27" s="81">
        <v>69496.14</v>
      </c>
      <c r="F27" s="91">
        <f>F43</f>
        <v>181808.38139999998</v>
      </c>
      <c r="G27" s="81">
        <f t="shared" si="1"/>
        <v>4.619999999995343</v>
      </c>
      <c r="M27" s="167"/>
    </row>
    <row r="28" spans="1:7" ht="15" customHeight="1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91">
        <v>0</v>
      </c>
      <c r="G28" s="81">
        <f t="shared" si="1"/>
        <v>0</v>
      </c>
    </row>
    <row r="29" spans="1:7" ht="15" customHeight="1">
      <c r="A29" s="41" t="s">
        <v>35</v>
      </c>
      <c r="B29" s="140" t="s">
        <v>36</v>
      </c>
      <c r="C29" s="101"/>
      <c r="D29" s="81">
        <f>SUM(D30:D33)</f>
        <v>1258909.6</v>
      </c>
      <c r="E29" s="81">
        <f>SUM(E30:E33)</f>
        <v>1253214.69</v>
      </c>
      <c r="F29" s="81">
        <f>SUM(F30:F33)</f>
        <v>1258909.6</v>
      </c>
      <c r="G29" s="81">
        <f>SUM(G30:G33)</f>
        <v>-5694.910000000033</v>
      </c>
    </row>
    <row r="30" spans="1:7" ht="15" customHeight="1">
      <c r="A30" s="34" t="s">
        <v>37</v>
      </c>
      <c r="B30" s="34" t="s">
        <v>174</v>
      </c>
      <c r="C30" s="103" t="s">
        <v>300</v>
      </c>
      <c r="D30" s="88">
        <v>32560.68</v>
      </c>
      <c r="E30" s="88">
        <v>32644.43</v>
      </c>
      <c r="F30" s="88">
        <f>D30</f>
        <v>32560.68</v>
      </c>
      <c r="G30" s="88">
        <f>E30-D30</f>
        <v>83.75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488414.49</v>
      </c>
      <c r="E31" s="88">
        <v>488295.75</v>
      </c>
      <c r="F31" s="88">
        <f>D31</f>
        <v>488414.49</v>
      </c>
      <c r="G31" s="88">
        <f>E31-D31</f>
        <v>-118.73999999999069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ht="15">
      <c r="A33" s="34" t="s">
        <v>41</v>
      </c>
      <c r="B33" s="34" t="s">
        <v>43</v>
      </c>
      <c r="C33" s="103" t="s">
        <v>301</v>
      </c>
      <c r="D33" s="88">
        <v>737934.43</v>
      </c>
      <c r="E33" s="88">
        <v>732274.51</v>
      </c>
      <c r="F33" s="88">
        <f>D33</f>
        <v>737934.43</v>
      </c>
      <c r="G33" s="88">
        <f>E33-D33</f>
        <v>-5659.920000000042</v>
      </c>
      <c r="H33" s="105"/>
      <c r="I33" s="105"/>
    </row>
    <row r="34" spans="1:9" ht="15.75" thickBot="1">
      <c r="A34" s="203" t="s">
        <v>639</v>
      </c>
      <c r="B34" s="204" t="s">
        <v>657</v>
      </c>
      <c r="C34" s="103"/>
      <c r="D34" s="88">
        <v>11400</v>
      </c>
      <c r="E34" s="88">
        <v>9670</v>
      </c>
      <c r="F34" s="87">
        <v>0</v>
      </c>
      <c r="G34" s="88">
        <f>E34-D34</f>
        <v>-1730</v>
      </c>
      <c r="H34" s="105"/>
      <c r="I34" s="105"/>
    </row>
    <row r="35" spans="1:10" s="106" customFormat="1" ht="14.25" thickBot="1">
      <c r="A35" s="319" t="s">
        <v>420</v>
      </c>
      <c r="B35" s="320"/>
      <c r="C35" s="320"/>
      <c r="D35" s="69">
        <f>D13+D19+D24+D25+D26+D27+D28+D29-E19-E24-E25-E26-E27-E28-E29</f>
        <v>41107.30000000028</v>
      </c>
      <c r="E35" s="70"/>
      <c r="F35" s="70"/>
      <c r="G35" s="70"/>
      <c r="H35" s="66"/>
      <c r="I35" s="66"/>
      <c r="J35" s="105"/>
    </row>
    <row r="36" spans="1:9" s="71" customFormat="1" ht="10.5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38596.57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-430039.06429999997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s="71" customFormat="1" ht="25.5" customHeight="1">
      <c r="A40" s="372" t="s">
        <v>44</v>
      </c>
      <c r="B40" s="372"/>
      <c r="C40" s="372"/>
      <c r="D40" s="372"/>
      <c r="E40" s="372"/>
      <c r="F40" s="372"/>
      <c r="G40" s="372"/>
      <c r="H40" s="372"/>
      <c r="I40" s="372"/>
    </row>
    <row r="41" ht="24.75" customHeight="1"/>
    <row r="42" spans="1:9" ht="28.5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  <c r="H42" s="179"/>
      <c r="I42" s="179"/>
    </row>
    <row r="43" spans="1:9" s="179" customFormat="1" ht="15">
      <c r="A43" s="113" t="s">
        <v>47</v>
      </c>
      <c r="B43" s="342" t="s">
        <v>114</v>
      </c>
      <c r="C43" s="345"/>
      <c r="D43" s="115"/>
      <c r="E43" s="115"/>
      <c r="F43" s="356">
        <f>SUM(F44:G53)</f>
        <v>181808.38139999998</v>
      </c>
      <c r="G43" s="351"/>
      <c r="H43" s="119"/>
      <c r="I43" s="119"/>
    </row>
    <row r="44" spans="1:9" s="218" customFormat="1" ht="26.25">
      <c r="A44" s="215" t="s">
        <v>16</v>
      </c>
      <c r="B44" s="331" t="s">
        <v>263</v>
      </c>
      <c r="C44" s="346"/>
      <c r="D44" s="216"/>
      <c r="E44" s="216" t="s">
        <v>317</v>
      </c>
      <c r="F44" s="381">
        <v>930</v>
      </c>
      <c r="G44" s="382"/>
      <c r="H44" s="217"/>
      <c r="I44" s="217"/>
    </row>
    <row r="45" spans="1:9" s="218" customFormat="1" ht="15">
      <c r="A45" s="215" t="s">
        <v>18</v>
      </c>
      <c r="B45" s="331" t="s">
        <v>263</v>
      </c>
      <c r="C45" s="346"/>
      <c r="D45" s="216"/>
      <c r="E45" s="216" t="s">
        <v>372</v>
      </c>
      <c r="F45" s="381">
        <v>1305.41</v>
      </c>
      <c r="G45" s="382"/>
      <c r="H45" s="217"/>
      <c r="I45" s="217"/>
    </row>
    <row r="46" spans="1:9" s="218" customFormat="1" ht="15">
      <c r="A46" s="215" t="s">
        <v>20</v>
      </c>
      <c r="B46" s="331" t="s">
        <v>268</v>
      </c>
      <c r="C46" s="346"/>
      <c r="D46" s="216"/>
      <c r="E46" s="216" t="s">
        <v>372</v>
      </c>
      <c r="F46" s="381">
        <v>827.21</v>
      </c>
      <c r="G46" s="382"/>
      <c r="H46" s="217"/>
      <c r="I46" s="217"/>
    </row>
    <row r="47" spans="1:9" s="218" customFormat="1" ht="15">
      <c r="A47" s="219" t="s">
        <v>22</v>
      </c>
      <c r="B47" s="331" t="s">
        <v>373</v>
      </c>
      <c r="C47" s="346"/>
      <c r="D47" s="216" t="s">
        <v>176</v>
      </c>
      <c r="E47" s="216">
        <v>5</v>
      </c>
      <c r="F47" s="385">
        <v>78958.87</v>
      </c>
      <c r="G47" s="386"/>
      <c r="H47" s="217"/>
      <c r="I47" s="217"/>
    </row>
    <row r="48" spans="1:9" s="218" customFormat="1" ht="15">
      <c r="A48" s="219" t="s">
        <v>24</v>
      </c>
      <c r="B48" s="331" t="s">
        <v>373</v>
      </c>
      <c r="C48" s="346"/>
      <c r="D48" s="216" t="s">
        <v>176</v>
      </c>
      <c r="E48" s="216">
        <v>3</v>
      </c>
      <c r="F48" s="381">
        <v>24269.93</v>
      </c>
      <c r="G48" s="382"/>
      <c r="H48" s="217"/>
      <c r="I48" s="217"/>
    </row>
    <row r="49" spans="1:9" s="218" customFormat="1" ht="15">
      <c r="A49" s="145" t="s">
        <v>106</v>
      </c>
      <c r="B49" s="184" t="s">
        <v>628</v>
      </c>
      <c r="C49" s="185"/>
      <c r="D49" s="216" t="s">
        <v>352</v>
      </c>
      <c r="E49" s="216">
        <v>0.371</v>
      </c>
      <c r="F49" s="381">
        <v>11302</v>
      </c>
      <c r="G49" s="382"/>
      <c r="H49" s="217"/>
      <c r="I49" s="217"/>
    </row>
    <row r="50" spans="1:9" s="218" customFormat="1" ht="15">
      <c r="A50" s="145" t="s">
        <v>107</v>
      </c>
      <c r="B50" s="184" t="s">
        <v>650</v>
      </c>
      <c r="C50" s="185"/>
      <c r="D50" s="216" t="s">
        <v>173</v>
      </c>
      <c r="E50" s="216">
        <v>1</v>
      </c>
      <c r="F50" s="381">
        <v>35000</v>
      </c>
      <c r="G50" s="382"/>
      <c r="H50" s="217"/>
      <c r="I50" s="217"/>
    </row>
    <row r="51" spans="1:9" s="218" customFormat="1" ht="15">
      <c r="A51" s="145" t="s">
        <v>120</v>
      </c>
      <c r="B51" s="325" t="s">
        <v>663</v>
      </c>
      <c r="C51" s="350"/>
      <c r="D51" s="216"/>
      <c r="E51" s="159" t="s">
        <v>286</v>
      </c>
      <c r="F51" s="344">
        <v>9520</v>
      </c>
      <c r="G51" s="344"/>
      <c r="H51" s="217"/>
      <c r="I51" s="217"/>
    </row>
    <row r="52" spans="1:9" s="218" customFormat="1" ht="15">
      <c r="A52" s="145" t="s">
        <v>121</v>
      </c>
      <c r="B52" s="325" t="s">
        <v>703</v>
      </c>
      <c r="C52" s="350"/>
      <c r="D52" s="216"/>
      <c r="E52" s="159"/>
      <c r="F52" s="344">
        <v>19000</v>
      </c>
      <c r="G52" s="344"/>
      <c r="H52" s="217"/>
      <c r="I52" s="217"/>
    </row>
    <row r="53" spans="1:9" s="119" customFormat="1" ht="13.5" customHeight="1">
      <c r="A53" s="145" t="s">
        <v>122</v>
      </c>
      <c r="B53" s="155" t="s">
        <v>207</v>
      </c>
      <c r="C53" s="156"/>
      <c r="D53" s="123"/>
      <c r="E53" s="123"/>
      <c r="F53" s="383">
        <f>E27*1%</f>
        <v>694.9614</v>
      </c>
      <c r="G53" s="384"/>
      <c r="H53" s="35"/>
      <c r="I53" s="35"/>
    </row>
    <row r="54" spans="1:9" ht="13.5" customHeight="1">
      <c r="A54" s="71"/>
      <c r="B54" s="71"/>
      <c r="C54" s="71"/>
      <c r="D54" s="71"/>
      <c r="E54" s="71"/>
      <c r="F54" s="71"/>
      <c r="G54" s="71"/>
      <c r="H54" s="71"/>
      <c r="I54" s="71"/>
    </row>
    <row r="55" spans="1:9" ht="13.5" customHeight="1">
      <c r="A55" s="71" t="s">
        <v>55</v>
      </c>
      <c r="B55" s="71"/>
      <c r="C55" s="71" t="s">
        <v>49</v>
      </c>
      <c r="D55" s="71"/>
      <c r="E55" s="71"/>
      <c r="F55" s="71" t="s">
        <v>93</v>
      </c>
      <c r="G55" s="71"/>
      <c r="H55" s="71"/>
      <c r="I55" s="71"/>
    </row>
    <row r="56" spans="1:9" ht="13.5" customHeight="1">
      <c r="A56" s="71"/>
      <c r="B56" s="71"/>
      <c r="C56" s="71"/>
      <c r="D56" s="71"/>
      <c r="E56" s="71"/>
      <c r="F56" s="132" t="s">
        <v>296</v>
      </c>
      <c r="G56" s="71"/>
      <c r="H56" s="71"/>
      <c r="I56" s="71"/>
    </row>
    <row r="57" spans="1:9" ht="13.5" customHeight="1">
      <c r="A57" s="71" t="s">
        <v>50</v>
      </c>
      <c r="B57" s="71"/>
      <c r="C57" s="71"/>
      <c r="D57" s="71"/>
      <c r="E57" s="71"/>
      <c r="F57" s="71"/>
      <c r="G57" s="71"/>
      <c r="H57" s="71"/>
      <c r="I57" s="71"/>
    </row>
    <row r="58" spans="1:9" ht="13.5" customHeight="1">
      <c r="A58" s="71"/>
      <c r="B58" s="71"/>
      <c r="C58" s="134" t="s">
        <v>51</v>
      </c>
      <c r="D58" s="71"/>
      <c r="E58" s="134"/>
      <c r="F58" s="134"/>
      <c r="G58" s="134"/>
      <c r="H58" s="71"/>
      <c r="I58" s="71"/>
    </row>
  </sheetData>
  <sheetProtection/>
  <mergeCells count="31">
    <mergeCell ref="F47:G47"/>
    <mergeCell ref="F45:G45"/>
    <mergeCell ref="F50:G50"/>
    <mergeCell ref="A35:C35"/>
    <mergeCell ref="A13:C13"/>
    <mergeCell ref="A12:I12"/>
    <mergeCell ref="A40:I40"/>
    <mergeCell ref="B42:C42"/>
    <mergeCell ref="B45:C45"/>
    <mergeCell ref="B46:C46"/>
    <mergeCell ref="B47:C47"/>
    <mergeCell ref="F51:G51"/>
    <mergeCell ref="F49:G49"/>
    <mergeCell ref="F48:G48"/>
    <mergeCell ref="F43:G43"/>
    <mergeCell ref="B48:C48"/>
    <mergeCell ref="A1:I1"/>
    <mergeCell ref="A2:I2"/>
    <mergeCell ref="A5:I5"/>
    <mergeCell ref="A10:I10"/>
    <mergeCell ref="A3:K3"/>
    <mergeCell ref="F46:G46"/>
    <mergeCell ref="A11:I11"/>
    <mergeCell ref="F53:G53"/>
    <mergeCell ref="B43:C43"/>
    <mergeCell ref="F42:G42"/>
    <mergeCell ref="B44:C44"/>
    <mergeCell ref="F44:G44"/>
    <mergeCell ref="B52:C52"/>
    <mergeCell ref="F52:G52"/>
    <mergeCell ref="B51:C5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9"/>
  <sheetViews>
    <sheetView zoomScalePageLayoutView="0" workbookViewId="0" topLeftCell="A33">
      <selection activeCell="P49" sqref="P49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4.00390625" style="35" customWidth="1"/>
    <col min="5" max="5" width="13.7109375" style="35" customWidth="1"/>
    <col min="6" max="6" width="12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7109375" style="35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.7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3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2.7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4.5" customHeight="1"/>
    <row r="7" spans="1:6" s="71" customFormat="1" ht="16.5" customHeight="1">
      <c r="A7" s="71" t="s">
        <v>2</v>
      </c>
      <c r="F7" s="132" t="s">
        <v>82</v>
      </c>
    </row>
    <row r="8" spans="1:6" s="71" customFormat="1" ht="15">
      <c r="A8" s="71" t="s">
        <v>3</v>
      </c>
      <c r="F8" s="132" t="s">
        <v>309</v>
      </c>
    </row>
    <row r="9" s="71" customFormat="1" ht="4.5" customHeight="1"/>
    <row r="10" spans="1:9" s="71" customFormat="1" ht="14.25" customHeight="1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4.25" customHeight="1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14822.73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'[1]Калинина 4'!$G$36</f>
        <v>21917.31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'[1]Калинина 4'!$G$37</f>
        <v>-117749.16090000002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15">
      <c r="A19" s="79" t="s">
        <v>14</v>
      </c>
      <c r="B19" s="41" t="s">
        <v>15</v>
      </c>
      <c r="C19" s="141">
        <f>C20+C21+C22+C23</f>
        <v>9.969999999999999</v>
      </c>
      <c r="D19" s="80">
        <v>338396.82</v>
      </c>
      <c r="E19" s="80">
        <v>329408.84</v>
      </c>
      <c r="F19" s="80">
        <f>D19</f>
        <v>338396.82</v>
      </c>
      <c r="G19" s="81">
        <f aca="true" t="shared" si="0" ref="G19:G29">E19-D19</f>
        <v>-8987.979999999981</v>
      </c>
      <c r="H19" s="152">
        <f>C19</f>
        <v>9.969999999999999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113364.63177532598</v>
      </c>
      <c r="E20" s="87">
        <f>E19*I20</f>
        <v>110353.61340020061</v>
      </c>
      <c r="F20" s="87">
        <f>D20</f>
        <v>113364.63177532598</v>
      </c>
      <c r="G20" s="88">
        <f t="shared" si="0"/>
        <v>-3011.0183751253644</v>
      </c>
      <c r="H20" s="152">
        <f>C20</f>
        <v>3.34</v>
      </c>
      <c r="I20" s="71">
        <f>H20/H19</f>
        <v>0.3350050150451354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55324.65562688065</v>
      </c>
      <c r="E21" s="87">
        <f>E19*I21</f>
        <v>53855.20653961887</v>
      </c>
      <c r="F21" s="87">
        <f>D21</f>
        <v>55324.65562688065</v>
      </c>
      <c r="G21" s="88">
        <f t="shared" si="0"/>
        <v>-1469.4490872617826</v>
      </c>
      <c r="H21" s="152">
        <f>C21</f>
        <v>1.63</v>
      </c>
      <c r="I21" s="71">
        <f>H21/H19</f>
        <v>0.16349047141424275</v>
      </c>
    </row>
    <row r="22" spans="1:9" s="71" customFormat="1" ht="15">
      <c r="A22" s="85" t="s">
        <v>20</v>
      </c>
      <c r="B22" s="34" t="s">
        <v>21</v>
      </c>
      <c r="C22" s="103">
        <v>2.07</v>
      </c>
      <c r="D22" s="87">
        <f>D19*I22</f>
        <v>70258.91849548646</v>
      </c>
      <c r="E22" s="87">
        <f>E19*I22</f>
        <v>68392.80830491475</v>
      </c>
      <c r="F22" s="87">
        <f>D22</f>
        <v>70258.91849548646</v>
      </c>
      <c r="G22" s="88">
        <f t="shared" si="0"/>
        <v>-1866.1101905717078</v>
      </c>
      <c r="H22" s="152">
        <f>C22</f>
        <v>2.07</v>
      </c>
      <c r="I22" s="71">
        <f>H22/H19</f>
        <v>0.20762286860581747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99448.61410230694</v>
      </c>
      <c r="E23" s="87">
        <f>E19*I23</f>
        <v>96807.21175526582</v>
      </c>
      <c r="F23" s="87">
        <f>D23</f>
        <v>99448.61410230694</v>
      </c>
      <c r="G23" s="88">
        <f t="shared" si="0"/>
        <v>-2641.4023470411194</v>
      </c>
      <c r="H23" s="152">
        <f>C23</f>
        <v>2.93</v>
      </c>
      <c r="I23" s="71">
        <f>H23/H19</f>
        <v>0.29388164493480445</v>
      </c>
    </row>
    <row r="24" spans="1:7" ht="15">
      <c r="A24" s="41" t="s">
        <v>25</v>
      </c>
      <c r="B24" s="146" t="s">
        <v>179</v>
      </c>
      <c r="C24" s="147">
        <v>0</v>
      </c>
      <c r="D24" s="81">
        <v>0</v>
      </c>
      <c r="E24" s="81">
        <v>0</v>
      </c>
      <c r="F24" s="81">
        <v>0</v>
      </c>
      <c r="G24" s="81">
        <f>E24-D24</f>
        <v>0</v>
      </c>
    </row>
    <row r="25" spans="1:7" ht="15">
      <c r="A25" s="41" t="s">
        <v>27</v>
      </c>
      <c r="B25" s="146" t="s">
        <v>28</v>
      </c>
      <c r="C25" s="147">
        <v>0</v>
      </c>
      <c r="D25" s="81">
        <v>0</v>
      </c>
      <c r="E25" s="81">
        <v>0</v>
      </c>
      <c r="F25" s="81">
        <f>D25</f>
        <v>0</v>
      </c>
      <c r="G25" s="81">
        <f t="shared" si="0"/>
        <v>0</v>
      </c>
    </row>
    <row r="26" spans="1:7" ht="15">
      <c r="A26" s="41" t="s">
        <v>29</v>
      </c>
      <c r="B26" s="146" t="s">
        <v>170</v>
      </c>
      <c r="C26" s="147" t="s">
        <v>314</v>
      </c>
      <c r="D26" s="81">
        <v>0</v>
      </c>
      <c r="E26" s="81">
        <v>0</v>
      </c>
      <c r="F26" s="81">
        <f>D26</f>
        <v>0</v>
      </c>
      <c r="G26" s="81">
        <f t="shared" si="0"/>
        <v>0</v>
      </c>
    </row>
    <row r="27" spans="1:13" ht="15">
      <c r="A27" s="41" t="s">
        <v>31</v>
      </c>
      <c r="B27" s="146" t="s">
        <v>119</v>
      </c>
      <c r="C27" s="147">
        <v>1.99</v>
      </c>
      <c r="D27" s="81">
        <v>66725.88</v>
      </c>
      <c r="E27" s="81">
        <v>66023.47</v>
      </c>
      <c r="F27" s="91">
        <f>F43-F29</f>
        <v>179524.8147</v>
      </c>
      <c r="G27" s="81">
        <f t="shared" si="0"/>
        <v>-702.4100000000035</v>
      </c>
      <c r="M27" s="167"/>
    </row>
    <row r="28" spans="1:7" ht="15">
      <c r="A28" s="41" t="s">
        <v>33</v>
      </c>
      <c r="B28" s="140" t="s">
        <v>34</v>
      </c>
      <c r="C28" s="141">
        <v>0</v>
      </c>
      <c r="D28" s="81">
        <v>0</v>
      </c>
      <c r="E28" s="81">
        <v>0</v>
      </c>
      <c r="F28" s="91">
        <v>0</v>
      </c>
      <c r="G28" s="81">
        <f t="shared" si="0"/>
        <v>0</v>
      </c>
    </row>
    <row r="29" spans="1:13" ht="15">
      <c r="A29" s="41" t="s">
        <v>35</v>
      </c>
      <c r="B29" s="140" t="s">
        <v>141</v>
      </c>
      <c r="C29" s="141">
        <v>13.22</v>
      </c>
      <c r="D29" s="81">
        <v>227148.66</v>
      </c>
      <c r="E29" s="81">
        <v>223500.09</v>
      </c>
      <c r="F29" s="91">
        <f>F48</f>
        <v>227035</v>
      </c>
      <c r="G29" s="81">
        <f t="shared" si="0"/>
        <v>-3648.570000000007</v>
      </c>
      <c r="M29" s="167"/>
    </row>
    <row r="30" spans="1:7" ht="15">
      <c r="A30" s="41" t="s">
        <v>230</v>
      </c>
      <c r="B30" s="140" t="s">
        <v>36</v>
      </c>
      <c r="C30" s="141"/>
      <c r="D30" s="81">
        <f>SUM(D31:D34)</f>
        <v>1394346.11</v>
      </c>
      <c r="E30" s="81">
        <f>SUM(E31:E34)</f>
        <v>1414052.62</v>
      </c>
      <c r="F30" s="81">
        <f>SUM(F31:F34)</f>
        <v>1394346.11</v>
      </c>
      <c r="G30" s="81">
        <f>SUM(G31:G34)</f>
        <v>19706.50999999987</v>
      </c>
    </row>
    <row r="31" spans="1:7" ht="15">
      <c r="A31" s="34" t="s">
        <v>232</v>
      </c>
      <c r="B31" s="34" t="s">
        <v>174</v>
      </c>
      <c r="C31" s="103" t="s">
        <v>300</v>
      </c>
      <c r="D31" s="88">
        <v>23401.5</v>
      </c>
      <c r="E31" s="88">
        <v>23171.9</v>
      </c>
      <c r="F31" s="88">
        <f>D31</f>
        <v>23401.5</v>
      </c>
      <c r="G31" s="88">
        <f>E31-D31</f>
        <v>-229.59999999999854</v>
      </c>
    </row>
    <row r="32" spans="1:7" ht="15">
      <c r="A32" s="34" t="s">
        <v>233</v>
      </c>
      <c r="B32" s="34" t="s">
        <v>142</v>
      </c>
      <c r="C32" s="103" t="s">
        <v>315</v>
      </c>
      <c r="D32" s="88">
        <v>205884.23</v>
      </c>
      <c r="E32" s="88">
        <v>220850.34</v>
      </c>
      <c r="F32" s="88">
        <f>D32</f>
        <v>205884.23</v>
      </c>
      <c r="G32" s="88">
        <f>E32-D32</f>
        <v>14966.109999999986</v>
      </c>
    </row>
    <row r="33" spans="1:7" ht="15">
      <c r="A33" s="34" t="s">
        <v>234</v>
      </c>
      <c r="B33" s="34" t="s">
        <v>40</v>
      </c>
      <c r="C33" s="205" t="s">
        <v>382</v>
      </c>
      <c r="D33" s="88">
        <v>283213.82</v>
      </c>
      <c r="E33" s="88">
        <v>292501.31</v>
      </c>
      <c r="F33" s="88">
        <f>D33</f>
        <v>283213.82</v>
      </c>
      <c r="G33" s="88">
        <f>E33-D33</f>
        <v>9287.48999999999</v>
      </c>
    </row>
    <row r="34" spans="1:9" ht="15.75" thickBot="1">
      <c r="A34" s="34" t="s">
        <v>235</v>
      </c>
      <c r="B34" s="34" t="s">
        <v>43</v>
      </c>
      <c r="C34" s="103" t="s">
        <v>301</v>
      </c>
      <c r="D34" s="88">
        <v>881846.56</v>
      </c>
      <c r="E34" s="88">
        <v>877529.07</v>
      </c>
      <c r="F34" s="88">
        <f>D34</f>
        <v>881846.56</v>
      </c>
      <c r="G34" s="88">
        <f>E34-D34</f>
        <v>-4317.490000000107</v>
      </c>
      <c r="H34" s="105"/>
      <c r="I34" s="105"/>
    </row>
    <row r="35" spans="1:10" s="106" customFormat="1" ht="14.25" thickBot="1">
      <c r="A35" s="319" t="s">
        <v>420</v>
      </c>
      <c r="B35" s="320"/>
      <c r="C35" s="320"/>
      <c r="D35" s="69">
        <f>D13+D19+D24+D25+D26+D27+D28+D29+D30-E19-E24-E25-E26-E27-E28-E29-E30</f>
        <v>8455.179999999935</v>
      </c>
      <c r="E35" s="70"/>
      <c r="F35" s="70"/>
      <c r="G35" s="70"/>
      <c r="H35" s="66"/>
      <c r="I35" s="66"/>
      <c r="J35" s="105"/>
    </row>
    <row r="36" spans="1:9" s="71" customFormat="1" ht="9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21917.31</v>
      </c>
      <c r="H37" s="66"/>
      <c r="I37" s="66"/>
    </row>
    <row r="38" spans="1:13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G16+E27+E29-F27-F29</f>
        <v>-234785.4156</v>
      </c>
      <c r="H38" s="66"/>
      <c r="I38" s="66"/>
      <c r="M38" s="152"/>
    </row>
    <row r="39" spans="1:9" s="71" customFormat="1" ht="9.75" customHeight="1">
      <c r="A39" s="72"/>
      <c r="B39" s="72"/>
      <c r="C39" s="72"/>
      <c r="D39" s="40"/>
      <c r="E39" s="70"/>
      <c r="F39" s="70"/>
      <c r="G39" s="40"/>
      <c r="H39" s="66"/>
      <c r="I39" s="66"/>
    </row>
    <row r="40" spans="1:9" s="71" customFormat="1" ht="28.5" customHeight="1">
      <c r="A40" s="372" t="s">
        <v>44</v>
      </c>
      <c r="B40" s="372"/>
      <c r="C40" s="372"/>
      <c r="D40" s="372"/>
      <c r="E40" s="372"/>
      <c r="F40" s="372"/>
      <c r="G40" s="372"/>
      <c r="H40" s="372"/>
      <c r="I40" s="372"/>
    </row>
    <row r="42" spans="1:9" ht="28.5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  <c r="H42" s="179"/>
      <c r="I42" s="179"/>
    </row>
    <row r="43" spans="1:9" s="179" customFormat="1" ht="15">
      <c r="A43" s="113" t="s">
        <v>47</v>
      </c>
      <c r="B43" s="342" t="s">
        <v>114</v>
      </c>
      <c r="C43" s="345"/>
      <c r="D43" s="115"/>
      <c r="E43" s="115"/>
      <c r="F43" s="356">
        <f>SUM(F44:L54)</f>
        <v>406559.8147</v>
      </c>
      <c r="G43" s="351"/>
      <c r="H43" s="119"/>
      <c r="I43" s="119"/>
    </row>
    <row r="44" spans="1:9" s="220" customFormat="1" ht="15">
      <c r="A44" s="145" t="s">
        <v>16</v>
      </c>
      <c r="B44" s="331" t="s">
        <v>310</v>
      </c>
      <c r="C44" s="346"/>
      <c r="D44" s="216" t="s">
        <v>261</v>
      </c>
      <c r="E44" s="216">
        <v>0.04</v>
      </c>
      <c r="F44" s="381">
        <v>3832.58</v>
      </c>
      <c r="G44" s="387"/>
      <c r="H44" s="35"/>
      <c r="I44" s="35"/>
    </row>
    <row r="45" spans="1:9" s="220" customFormat="1" ht="15">
      <c r="A45" s="145" t="s">
        <v>18</v>
      </c>
      <c r="B45" s="331" t="s">
        <v>311</v>
      </c>
      <c r="C45" s="346"/>
      <c r="D45" s="216" t="s">
        <v>294</v>
      </c>
      <c r="E45" s="216">
        <v>400</v>
      </c>
      <c r="F45" s="381">
        <v>4104</v>
      </c>
      <c r="G45" s="387"/>
      <c r="H45" s="35"/>
      <c r="I45" s="35"/>
    </row>
    <row r="46" spans="1:9" s="220" customFormat="1" ht="33" customHeight="1">
      <c r="A46" s="145" t="s">
        <v>20</v>
      </c>
      <c r="B46" s="331" t="s">
        <v>312</v>
      </c>
      <c r="C46" s="346"/>
      <c r="D46" s="216" t="s">
        <v>173</v>
      </c>
      <c r="E46" s="216">
        <v>1</v>
      </c>
      <c r="F46" s="381">
        <v>10000</v>
      </c>
      <c r="G46" s="387"/>
      <c r="H46" s="35"/>
      <c r="I46" s="35"/>
    </row>
    <row r="47" spans="1:9" s="220" customFormat="1" ht="15">
      <c r="A47" s="145" t="s">
        <v>22</v>
      </c>
      <c r="B47" s="331" t="s">
        <v>276</v>
      </c>
      <c r="C47" s="346"/>
      <c r="D47" s="216" t="s">
        <v>261</v>
      </c>
      <c r="E47" s="216">
        <v>0.32</v>
      </c>
      <c r="F47" s="381">
        <v>48544</v>
      </c>
      <c r="G47" s="387"/>
      <c r="H47" s="35"/>
      <c r="I47" s="35"/>
    </row>
    <row r="48" spans="1:9" s="220" customFormat="1" ht="15">
      <c r="A48" s="145" t="s">
        <v>24</v>
      </c>
      <c r="B48" s="331" t="s">
        <v>313</v>
      </c>
      <c r="C48" s="346"/>
      <c r="D48" s="216" t="s">
        <v>173</v>
      </c>
      <c r="E48" s="216">
        <v>1</v>
      </c>
      <c r="F48" s="381">
        <v>227035</v>
      </c>
      <c r="G48" s="387"/>
      <c r="H48" s="35"/>
      <c r="I48" s="35"/>
    </row>
    <row r="49" spans="1:9" s="220" customFormat="1" ht="15">
      <c r="A49" s="145" t="s">
        <v>106</v>
      </c>
      <c r="B49" s="331" t="s">
        <v>628</v>
      </c>
      <c r="C49" s="346"/>
      <c r="D49" s="216" t="s">
        <v>352</v>
      </c>
      <c r="E49" s="216">
        <v>0.288</v>
      </c>
      <c r="F49" s="381">
        <v>8684</v>
      </c>
      <c r="G49" s="387"/>
      <c r="H49" s="35"/>
      <c r="I49" s="35"/>
    </row>
    <row r="50" spans="1:9" s="220" customFormat="1" ht="15">
      <c r="A50" s="145" t="s">
        <v>107</v>
      </c>
      <c r="B50" s="331" t="s">
        <v>631</v>
      </c>
      <c r="C50" s="346"/>
      <c r="D50" s="216" t="s">
        <v>173</v>
      </c>
      <c r="E50" s="216">
        <v>2</v>
      </c>
      <c r="F50" s="381">
        <v>13100</v>
      </c>
      <c r="G50" s="387"/>
      <c r="H50" s="35"/>
      <c r="I50" s="35"/>
    </row>
    <row r="51" spans="1:9" s="220" customFormat="1" ht="15">
      <c r="A51" s="145" t="s">
        <v>120</v>
      </c>
      <c r="B51" s="331" t="s">
        <v>632</v>
      </c>
      <c r="C51" s="346"/>
      <c r="D51" s="216" t="s">
        <v>173</v>
      </c>
      <c r="E51" s="216">
        <v>2</v>
      </c>
      <c r="F51" s="381">
        <v>600</v>
      </c>
      <c r="G51" s="387"/>
      <c r="H51" s="35"/>
      <c r="I51" s="35"/>
    </row>
    <row r="52" spans="1:9" s="220" customFormat="1" ht="15">
      <c r="A52" s="145" t="s">
        <v>121</v>
      </c>
      <c r="B52" s="331" t="s">
        <v>695</v>
      </c>
      <c r="C52" s="346"/>
      <c r="D52" s="216" t="s">
        <v>173</v>
      </c>
      <c r="E52" s="216">
        <v>2</v>
      </c>
      <c r="F52" s="381">
        <v>30200</v>
      </c>
      <c r="G52" s="387"/>
      <c r="H52" s="35"/>
      <c r="I52" s="35"/>
    </row>
    <row r="53" spans="1:9" s="220" customFormat="1" ht="15">
      <c r="A53" s="145" t="s">
        <v>122</v>
      </c>
      <c r="B53" s="331" t="s">
        <v>181</v>
      </c>
      <c r="C53" s="346"/>
      <c r="D53" s="216"/>
      <c r="E53" s="216"/>
      <c r="F53" s="381">
        <v>59800</v>
      </c>
      <c r="G53" s="387"/>
      <c r="H53" s="35"/>
      <c r="I53" s="35"/>
    </row>
    <row r="54" spans="1:9" s="119" customFormat="1" ht="15">
      <c r="A54" s="145" t="s">
        <v>144</v>
      </c>
      <c r="B54" s="155" t="s">
        <v>207</v>
      </c>
      <c r="C54" s="156"/>
      <c r="D54" s="123"/>
      <c r="E54" s="123"/>
      <c r="F54" s="380">
        <f>E27*1%</f>
        <v>660.2347</v>
      </c>
      <c r="G54" s="380"/>
      <c r="H54" s="35"/>
      <c r="I54" s="35"/>
    </row>
    <row r="55" spans="1:9" ht="12.75" customHeight="1">
      <c r="A55" s="71"/>
      <c r="B55" s="71"/>
      <c r="C55" s="71"/>
      <c r="D55" s="71"/>
      <c r="E55" s="71"/>
      <c r="F55" s="71"/>
      <c r="G55" s="71"/>
      <c r="H55" s="71"/>
      <c r="I55" s="71"/>
    </row>
    <row r="56" spans="1:9" ht="12.75" customHeight="1">
      <c r="A56" s="71" t="s">
        <v>55</v>
      </c>
      <c r="B56" s="71"/>
      <c r="C56" s="71" t="s">
        <v>49</v>
      </c>
      <c r="D56" s="71"/>
      <c r="E56" s="71"/>
      <c r="F56" s="71" t="s">
        <v>93</v>
      </c>
      <c r="G56" s="71"/>
      <c r="H56" s="71"/>
      <c r="I56" s="71"/>
    </row>
    <row r="57" spans="1:9" ht="12.75" customHeight="1">
      <c r="A57" s="71"/>
      <c r="B57" s="71"/>
      <c r="C57" s="71"/>
      <c r="D57" s="71"/>
      <c r="E57" s="71"/>
      <c r="F57" s="132" t="s">
        <v>296</v>
      </c>
      <c r="G57" s="71"/>
      <c r="H57" s="71"/>
      <c r="I57" s="71"/>
    </row>
    <row r="58" spans="1:9" ht="12.75" customHeight="1">
      <c r="A58" s="71" t="s">
        <v>50</v>
      </c>
      <c r="B58" s="71"/>
      <c r="C58" s="71"/>
      <c r="D58" s="71"/>
      <c r="E58" s="71"/>
      <c r="F58" s="71"/>
      <c r="G58" s="71"/>
      <c r="H58" s="71"/>
      <c r="I58" s="71"/>
    </row>
    <row r="59" spans="1:9" ht="12.75" customHeight="1">
      <c r="A59" s="71"/>
      <c r="B59" s="71"/>
      <c r="C59" s="134" t="s">
        <v>51</v>
      </c>
      <c r="D59" s="71"/>
      <c r="E59" s="134"/>
      <c r="F59" s="134"/>
      <c r="G59" s="134"/>
      <c r="H59" s="71"/>
      <c r="I59" s="71"/>
    </row>
  </sheetData>
  <sheetProtection/>
  <mergeCells count="35">
    <mergeCell ref="A1:I1"/>
    <mergeCell ref="A2:I2"/>
    <mergeCell ref="A5:I5"/>
    <mergeCell ref="A10:I10"/>
    <mergeCell ref="A3:K3"/>
    <mergeCell ref="B46:C46"/>
    <mergeCell ref="B43:C43"/>
    <mergeCell ref="B44:C44"/>
    <mergeCell ref="F42:G42"/>
    <mergeCell ref="A11:I11"/>
    <mergeCell ref="F54:G54"/>
    <mergeCell ref="F46:G46"/>
    <mergeCell ref="B50:C50"/>
    <mergeCell ref="F50:G50"/>
    <mergeCell ref="B51:C51"/>
    <mergeCell ref="B48:C48"/>
    <mergeCell ref="F48:G48"/>
    <mergeCell ref="B52:C52"/>
    <mergeCell ref="B53:C53"/>
    <mergeCell ref="F53:G53"/>
    <mergeCell ref="F52:G52"/>
    <mergeCell ref="F44:G44"/>
    <mergeCell ref="F45:G45"/>
    <mergeCell ref="B47:C47"/>
    <mergeCell ref="F47:G47"/>
    <mergeCell ref="F51:G51"/>
    <mergeCell ref="B49:C49"/>
    <mergeCell ref="F49:G49"/>
    <mergeCell ref="B45:C45"/>
    <mergeCell ref="A12:I12"/>
    <mergeCell ref="F43:G43"/>
    <mergeCell ref="A13:C13"/>
    <mergeCell ref="A35:C35"/>
    <mergeCell ref="A40:I40"/>
    <mergeCell ref="B42:C42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V51"/>
  <sheetViews>
    <sheetView zoomScalePageLayoutView="0" workbookViewId="0" topLeftCell="A24">
      <selection activeCell="A17" sqref="A17"/>
    </sheetView>
  </sheetViews>
  <sheetFormatPr defaultColWidth="9.140625" defaultRowHeight="15" outlineLevelCol="1"/>
  <cols>
    <col min="1" max="1" width="5.57421875" style="35" customWidth="1"/>
    <col min="2" max="2" width="51.00390625" style="35" customWidth="1"/>
    <col min="3" max="3" width="13.00390625" style="35" customWidth="1"/>
    <col min="4" max="4" width="12.8515625" style="35" customWidth="1"/>
    <col min="5" max="5" width="12.7109375" style="35" customWidth="1"/>
    <col min="6" max="6" width="14.0039062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21" width="9.140625" style="35" customWidth="1"/>
    <col min="22" max="22" width="11.421875" style="35" bestFit="1" customWidth="1"/>
    <col min="23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7.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.7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6" customHeight="1"/>
    <row r="7" spans="1:6" s="71" customFormat="1" ht="16.5" customHeight="1">
      <c r="A7" s="71" t="s">
        <v>2</v>
      </c>
      <c r="F7" s="132" t="s">
        <v>367</v>
      </c>
    </row>
    <row r="8" spans="1:6" s="71" customFormat="1" ht="15">
      <c r="A8" s="71" t="s">
        <v>3</v>
      </c>
      <c r="F8" s="132" t="s">
        <v>368</v>
      </c>
    </row>
    <row r="9" s="71" customFormat="1" ht="6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671</v>
      </c>
      <c r="B13" s="320"/>
      <c r="C13" s="320"/>
      <c r="D13" s="50">
        <v>0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672</v>
      </c>
      <c r="B15" s="68"/>
      <c r="C15" s="68"/>
      <c r="D15" s="73"/>
      <c r="E15" s="74"/>
      <c r="F15" s="74"/>
      <c r="G15" s="151">
        <v>0</v>
      </c>
      <c r="H15" s="66"/>
      <c r="I15" s="66"/>
    </row>
    <row r="16" spans="1:9" s="71" customFormat="1" ht="15.75" thickBot="1">
      <c r="A16" s="67" t="s">
        <v>788</v>
      </c>
      <c r="B16" s="68"/>
      <c r="C16" s="68"/>
      <c r="D16" s="73"/>
      <c r="E16" s="74"/>
      <c r="F16" s="74"/>
      <c r="G16" s="151">
        <v>0</v>
      </c>
      <c r="H16" s="66"/>
      <c r="I16" s="66"/>
    </row>
    <row r="17" s="71" customFormat="1" ht="6.75" customHeight="1"/>
    <row r="18" spans="1:7" s="78" customFormat="1" ht="52.5" customHeight="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15.75" customHeight="1">
      <c r="A19" s="79" t="s">
        <v>14</v>
      </c>
      <c r="B19" s="41" t="s">
        <v>15</v>
      </c>
      <c r="C19" s="141">
        <f>C20+C21+C22+C23</f>
        <v>9.53</v>
      </c>
      <c r="D19" s="80">
        <v>550874.93</v>
      </c>
      <c r="E19" s="80">
        <v>525282.01</v>
      </c>
      <c r="F19" s="80">
        <f aca="true" t="shared" si="0" ref="F19:F26">D19</f>
        <v>550874.93</v>
      </c>
      <c r="G19" s="81">
        <f aca="true" t="shared" si="1" ref="G19:G28">E19-D19</f>
        <v>-25592.920000000042</v>
      </c>
      <c r="H19" s="152">
        <f>C19</f>
        <v>9.53</v>
      </c>
    </row>
    <row r="20" spans="1:9" s="71" customFormat="1" ht="15.75" customHeight="1">
      <c r="A20" s="85" t="s">
        <v>16</v>
      </c>
      <c r="B20" s="34" t="s">
        <v>17</v>
      </c>
      <c r="C20" s="103">
        <v>3.34</v>
      </c>
      <c r="D20" s="87">
        <f>D19*I20</f>
        <v>193066.34482686254</v>
      </c>
      <c r="E20" s="87">
        <f>E19*I20</f>
        <v>184096.73802728226</v>
      </c>
      <c r="F20" s="87">
        <f t="shared" si="0"/>
        <v>193066.34482686254</v>
      </c>
      <c r="G20" s="88">
        <f t="shared" si="1"/>
        <v>-8969.606799580273</v>
      </c>
      <c r="H20" s="152">
        <f>C20</f>
        <v>3.34</v>
      </c>
      <c r="I20" s="71">
        <f>H20/H19</f>
        <v>0.35047219307450156</v>
      </c>
    </row>
    <row r="21" spans="1:9" s="71" customFormat="1" ht="15.75" customHeight="1">
      <c r="A21" s="85" t="s">
        <v>18</v>
      </c>
      <c r="B21" s="34" t="s">
        <v>19</v>
      </c>
      <c r="C21" s="103">
        <v>1.63</v>
      </c>
      <c r="D21" s="87">
        <f>D19*I21</f>
        <v>94221.0006190976</v>
      </c>
      <c r="E21" s="87">
        <f>E19*I21</f>
        <v>89843.61766002099</v>
      </c>
      <c r="F21" s="87">
        <f t="shared" si="0"/>
        <v>94221.0006190976</v>
      </c>
      <c r="G21" s="88">
        <f t="shared" si="1"/>
        <v>-4377.382959076611</v>
      </c>
      <c r="H21" s="152">
        <f>C21</f>
        <v>1.63</v>
      </c>
      <c r="I21" s="71">
        <f>H21/H19</f>
        <v>0.17103882476390347</v>
      </c>
    </row>
    <row r="22" spans="1:9" s="71" customFormat="1" ht="15.75" customHeight="1">
      <c r="A22" s="85" t="s">
        <v>20</v>
      </c>
      <c r="B22" s="34" t="s">
        <v>21</v>
      </c>
      <c r="C22" s="103">
        <v>1.63</v>
      </c>
      <c r="D22" s="87">
        <f>D19*I22</f>
        <v>94221.0006190976</v>
      </c>
      <c r="E22" s="87">
        <f>E19*I22</f>
        <v>89843.61766002099</v>
      </c>
      <c r="F22" s="87">
        <f t="shared" si="0"/>
        <v>94221.0006190976</v>
      </c>
      <c r="G22" s="88">
        <f t="shared" si="1"/>
        <v>-4377.382959076611</v>
      </c>
      <c r="H22" s="152">
        <f>C22</f>
        <v>1.63</v>
      </c>
      <c r="I22" s="71">
        <f>H22/H19</f>
        <v>0.17103882476390347</v>
      </c>
    </row>
    <row r="23" spans="1:9" s="71" customFormat="1" ht="15.75" customHeight="1">
      <c r="A23" s="85" t="s">
        <v>22</v>
      </c>
      <c r="B23" s="34" t="s">
        <v>23</v>
      </c>
      <c r="C23" s="103">
        <v>2.93</v>
      </c>
      <c r="D23" s="87">
        <f>D19*I23</f>
        <v>169366.58393494232</v>
      </c>
      <c r="E23" s="87">
        <f>E19*I23</f>
        <v>161498.0366526758</v>
      </c>
      <c r="F23" s="87">
        <f t="shared" si="0"/>
        <v>169366.58393494232</v>
      </c>
      <c r="G23" s="88">
        <f t="shared" si="1"/>
        <v>-7868.547282266518</v>
      </c>
      <c r="H23" s="152">
        <f>C23</f>
        <v>2.93</v>
      </c>
      <c r="I23" s="71">
        <f>H23/H19</f>
        <v>0.30745015739769155</v>
      </c>
    </row>
    <row r="24" spans="1:7" ht="15.75" customHeight="1">
      <c r="A24" s="41" t="s">
        <v>25</v>
      </c>
      <c r="B24" s="146" t="s">
        <v>141</v>
      </c>
      <c r="C24" s="46">
        <v>0</v>
      </c>
      <c r="D24" s="81">
        <v>0</v>
      </c>
      <c r="E24" s="81">
        <v>0</v>
      </c>
      <c r="F24" s="81">
        <f t="shared" si="0"/>
        <v>0</v>
      </c>
      <c r="G24" s="81">
        <f t="shared" si="1"/>
        <v>0</v>
      </c>
    </row>
    <row r="25" spans="1:7" ht="15.75" customHeight="1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22" ht="15.75" customHeight="1">
      <c r="A26" s="41" t="s">
        <v>29</v>
      </c>
      <c r="B26" s="146" t="s">
        <v>170</v>
      </c>
      <c r="C26" s="214" t="s">
        <v>314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  <c r="N26" s="38"/>
      <c r="O26" s="38"/>
      <c r="P26" s="38"/>
      <c r="Q26" s="38"/>
      <c r="R26" s="38"/>
      <c r="S26" s="38"/>
      <c r="T26" s="38"/>
      <c r="U26" s="38"/>
      <c r="V26" s="38"/>
    </row>
    <row r="27" spans="1:13" ht="15.75" customHeight="1">
      <c r="A27" s="41" t="s">
        <v>31</v>
      </c>
      <c r="B27" s="146" t="s">
        <v>119</v>
      </c>
      <c r="C27" s="101">
        <v>1.8</v>
      </c>
      <c r="D27" s="81">
        <v>101979.9</v>
      </c>
      <c r="E27" s="81">
        <f>99213.6+62221.08</f>
        <v>161434.68</v>
      </c>
      <c r="F27" s="91">
        <f>F42</f>
        <v>112461.3468</v>
      </c>
      <c r="G27" s="81">
        <f t="shared" si="1"/>
        <v>59454.78</v>
      </c>
      <c r="M27" s="167"/>
    </row>
    <row r="28" spans="1:7" ht="15.75" customHeight="1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91">
        <v>0</v>
      </c>
      <c r="G28" s="81">
        <f t="shared" si="1"/>
        <v>0</v>
      </c>
    </row>
    <row r="29" spans="1:7" ht="15.75" customHeight="1">
      <c r="A29" s="41" t="s">
        <v>35</v>
      </c>
      <c r="B29" s="140" t="s">
        <v>36</v>
      </c>
      <c r="C29" s="101"/>
      <c r="D29" s="81">
        <f>SUM(D30:D33)</f>
        <v>1746735.6400000001</v>
      </c>
      <c r="E29" s="81">
        <f>SUM(E30:E33)</f>
        <v>1692078.18</v>
      </c>
      <c r="F29" s="81">
        <f>SUM(F30:F33)</f>
        <v>1746735.6400000001</v>
      </c>
      <c r="G29" s="81">
        <f>SUM(G30:G33)</f>
        <v>-54657.46000000006</v>
      </c>
    </row>
    <row r="30" spans="1:7" ht="15.75" customHeight="1">
      <c r="A30" s="34" t="s">
        <v>37</v>
      </c>
      <c r="B30" s="34" t="s">
        <v>174</v>
      </c>
      <c r="C30" s="103" t="s">
        <v>300</v>
      </c>
      <c r="D30" s="88">
        <v>56084.46</v>
      </c>
      <c r="E30" s="88">
        <v>54162.56</v>
      </c>
      <c r="F30" s="88">
        <f>D30</f>
        <v>56084.46</v>
      </c>
      <c r="G30" s="88">
        <f>E30-D30</f>
        <v>-1921.9000000000015</v>
      </c>
    </row>
    <row r="31" spans="1:7" ht="15.75" customHeight="1">
      <c r="A31" s="34" t="s">
        <v>39</v>
      </c>
      <c r="B31" s="34" t="s">
        <v>142</v>
      </c>
      <c r="C31" s="103" t="s">
        <v>315</v>
      </c>
      <c r="D31" s="88">
        <v>600276.84</v>
      </c>
      <c r="E31" s="88">
        <v>587377.09</v>
      </c>
      <c r="F31" s="88">
        <f>D31</f>
        <v>600276.84</v>
      </c>
      <c r="G31" s="88">
        <f>E31-D31</f>
        <v>-12899.75</v>
      </c>
    </row>
    <row r="32" spans="1:7" ht="15.75" customHeight="1">
      <c r="A32" s="34" t="s">
        <v>42</v>
      </c>
      <c r="B32" s="34" t="s">
        <v>40</v>
      </c>
      <c r="C32" s="205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ht="15.75" customHeight="1" thickBot="1">
      <c r="A33" s="34" t="s">
        <v>41</v>
      </c>
      <c r="B33" s="34" t="s">
        <v>43</v>
      </c>
      <c r="C33" s="103" t="s">
        <v>301</v>
      </c>
      <c r="D33" s="88">
        <v>1090374.34</v>
      </c>
      <c r="E33" s="88">
        <v>1050538.53</v>
      </c>
      <c r="F33" s="88">
        <f>D33</f>
        <v>1090374.34</v>
      </c>
      <c r="G33" s="88">
        <f>E33-D33</f>
        <v>-39835.810000000056</v>
      </c>
      <c r="H33" s="105"/>
      <c r="I33" s="105"/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20795.600000000326</v>
      </c>
      <c r="E34" s="70"/>
      <c r="F34" s="70"/>
      <c r="G34" s="70"/>
      <c r="H34" s="66"/>
      <c r="I34" s="66"/>
      <c r="J34" s="105"/>
    </row>
    <row r="35" spans="1:9" s="71" customFormat="1" ht="8.25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0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48973.333199999994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27.75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1" spans="1:9" ht="28.5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s="179" customFormat="1" ht="15">
      <c r="A42" s="113" t="s">
        <v>47</v>
      </c>
      <c r="B42" s="342" t="s">
        <v>114</v>
      </c>
      <c r="C42" s="345"/>
      <c r="D42" s="115"/>
      <c r="E42" s="115"/>
      <c r="F42" s="356">
        <f>SUM(F43:L46)</f>
        <v>112461.3468</v>
      </c>
      <c r="G42" s="351"/>
      <c r="H42" s="119"/>
      <c r="I42" s="119"/>
    </row>
    <row r="43" spans="1:7" ht="13.5" customHeight="1">
      <c r="A43" s="34" t="s">
        <v>16</v>
      </c>
      <c r="B43" s="325" t="s">
        <v>271</v>
      </c>
      <c r="C43" s="327"/>
      <c r="D43" s="123" t="s">
        <v>265</v>
      </c>
      <c r="E43" s="123">
        <v>1</v>
      </c>
      <c r="F43" s="355">
        <v>29018</v>
      </c>
      <c r="G43" s="355"/>
    </row>
    <row r="44" spans="1:7" ht="13.5" customHeight="1">
      <c r="A44" s="34" t="s">
        <v>18</v>
      </c>
      <c r="B44" s="325" t="s">
        <v>369</v>
      </c>
      <c r="C44" s="327"/>
      <c r="D44" s="123" t="s">
        <v>265</v>
      </c>
      <c r="E44" s="123">
        <v>0.01</v>
      </c>
      <c r="F44" s="366">
        <v>3529</v>
      </c>
      <c r="G44" s="367"/>
    </row>
    <row r="45" spans="1:7" ht="13.5" customHeight="1">
      <c r="A45" s="34" t="s">
        <v>20</v>
      </c>
      <c r="B45" s="325" t="s">
        <v>181</v>
      </c>
      <c r="C45" s="327"/>
      <c r="D45" s="123"/>
      <c r="E45" s="123"/>
      <c r="F45" s="388">
        <v>78300</v>
      </c>
      <c r="G45" s="389"/>
    </row>
    <row r="46" spans="1:7" ht="15">
      <c r="A46" s="34" t="s">
        <v>22</v>
      </c>
      <c r="B46" s="155" t="s">
        <v>207</v>
      </c>
      <c r="C46" s="156"/>
      <c r="D46" s="123"/>
      <c r="E46" s="123"/>
      <c r="F46" s="355">
        <f>E27*1%</f>
        <v>1614.3468</v>
      </c>
      <c r="G46" s="355"/>
    </row>
    <row r="47" spans="1:9" ht="15">
      <c r="A47" s="71"/>
      <c r="B47" s="71"/>
      <c r="C47" s="71"/>
      <c r="D47" s="71"/>
      <c r="E47" s="71"/>
      <c r="F47" s="71"/>
      <c r="G47" s="71"/>
      <c r="H47" s="71"/>
      <c r="I47" s="71"/>
    </row>
    <row r="48" spans="1:9" ht="15" customHeight="1">
      <c r="A48" s="71" t="s">
        <v>55</v>
      </c>
      <c r="B48" s="71"/>
      <c r="C48" s="71" t="s">
        <v>49</v>
      </c>
      <c r="D48" s="71"/>
      <c r="E48" s="71"/>
      <c r="F48" s="71" t="s">
        <v>93</v>
      </c>
      <c r="G48" s="71"/>
      <c r="H48" s="71"/>
      <c r="I48" s="71"/>
    </row>
    <row r="49" spans="1:9" ht="15">
      <c r="A49" s="71"/>
      <c r="B49" s="71"/>
      <c r="C49" s="71"/>
      <c r="D49" s="71"/>
      <c r="E49" s="71"/>
      <c r="F49" s="132" t="s">
        <v>296</v>
      </c>
      <c r="G49" s="71"/>
      <c r="H49" s="71"/>
      <c r="I49" s="71"/>
    </row>
    <row r="50" s="71" customFormat="1" ht="15">
      <c r="A50" s="71" t="s">
        <v>50</v>
      </c>
    </row>
    <row r="51" spans="3:7" s="71" customFormat="1" ht="13.5" customHeight="1">
      <c r="C51" s="134" t="s">
        <v>51</v>
      </c>
      <c r="E51" s="134"/>
      <c r="F51" s="134"/>
      <c r="G51" s="134"/>
    </row>
    <row r="52" s="71" customFormat="1" ht="15"/>
  </sheetData>
  <sheetProtection/>
  <mergeCells count="21">
    <mergeCell ref="B44:C44"/>
    <mergeCell ref="F44:G44"/>
    <mergeCell ref="B45:C45"/>
    <mergeCell ref="F45:G45"/>
    <mergeCell ref="F46:G46"/>
    <mergeCell ref="B42:C42"/>
    <mergeCell ref="F42:G42"/>
    <mergeCell ref="B43:C43"/>
    <mergeCell ref="F43:G43"/>
    <mergeCell ref="A12:I12"/>
    <mergeCell ref="A13:C13"/>
    <mergeCell ref="A34:C34"/>
    <mergeCell ref="A39:I39"/>
    <mergeCell ref="B41:C41"/>
    <mergeCell ref="F41:G41"/>
    <mergeCell ref="A1:I1"/>
    <mergeCell ref="A2:I2"/>
    <mergeCell ref="A3:K3"/>
    <mergeCell ref="A5:I5"/>
    <mergeCell ref="A10:I10"/>
    <mergeCell ref="A11:I1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25">
      <selection activeCell="A17" sqref="A17"/>
    </sheetView>
  </sheetViews>
  <sheetFormatPr defaultColWidth="9.140625" defaultRowHeight="15" outlineLevelCol="1"/>
  <cols>
    <col min="1" max="1" width="5.57421875" style="35" customWidth="1"/>
    <col min="2" max="2" width="51.00390625" style="35" customWidth="1"/>
    <col min="3" max="3" width="13.00390625" style="35" customWidth="1"/>
    <col min="4" max="4" width="12.8515625" style="35" customWidth="1"/>
    <col min="5" max="5" width="12.7109375" style="35" customWidth="1"/>
    <col min="6" max="6" width="14.0039062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7.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.7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6" customHeight="1"/>
    <row r="7" spans="1:6" s="71" customFormat="1" ht="16.5" customHeight="1">
      <c r="A7" s="71" t="s">
        <v>2</v>
      </c>
      <c r="F7" s="132" t="s">
        <v>83</v>
      </c>
    </row>
    <row r="8" spans="1:6" s="71" customFormat="1" ht="15">
      <c r="A8" s="71" t="s">
        <v>3</v>
      </c>
      <c r="F8" s="132" t="s">
        <v>84</v>
      </c>
    </row>
    <row r="9" s="71" customFormat="1" ht="6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159660.59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'[1]Пионерская 18'!$G$36</f>
        <v>22071.77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'[1]Пионерская 18'!$G$37</f>
        <v>-276411.4555</v>
      </c>
      <c r="H16" s="66"/>
      <c r="I16" s="66"/>
    </row>
    <row r="17" s="71" customFormat="1" ht="6.75" customHeight="1"/>
    <row r="18" spans="1:7" s="78" customFormat="1" ht="52.5" customHeight="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15.75" customHeight="1">
      <c r="A19" s="79" t="s">
        <v>14</v>
      </c>
      <c r="B19" s="41" t="s">
        <v>15</v>
      </c>
      <c r="C19" s="141">
        <f>C20+C21+C22+C23</f>
        <v>9.53</v>
      </c>
      <c r="D19" s="80">
        <v>322621.32</v>
      </c>
      <c r="E19" s="80">
        <v>314242.94</v>
      </c>
      <c r="F19" s="80">
        <f aca="true" t="shared" si="0" ref="F19:F26">D19</f>
        <v>322621.32</v>
      </c>
      <c r="G19" s="81">
        <f aca="true" t="shared" si="1" ref="G19:G28">E19-D19</f>
        <v>-8378.380000000005</v>
      </c>
      <c r="H19" s="152">
        <f>C19</f>
        <v>9.53</v>
      </c>
    </row>
    <row r="20" spans="1:9" s="71" customFormat="1" ht="15.75" customHeight="1">
      <c r="A20" s="85" t="s">
        <v>16</v>
      </c>
      <c r="B20" s="34" t="s">
        <v>17</v>
      </c>
      <c r="C20" s="103">
        <v>3.34</v>
      </c>
      <c r="D20" s="87">
        <f>D19*I20</f>
        <v>113069.80155299055</v>
      </c>
      <c r="E20" s="87">
        <f>E19*I20</f>
        <v>110133.41233997901</v>
      </c>
      <c r="F20" s="87">
        <f t="shared" si="0"/>
        <v>113069.80155299055</v>
      </c>
      <c r="G20" s="88">
        <f t="shared" si="1"/>
        <v>-2936.389213011542</v>
      </c>
      <c r="H20" s="152">
        <f>C20</f>
        <v>3.34</v>
      </c>
      <c r="I20" s="71">
        <f>H20/H19</f>
        <v>0.35047219307450156</v>
      </c>
    </row>
    <row r="21" spans="1:9" s="71" customFormat="1" ht="15.75" customHeight="1">
      <c r="A21" s="85" t="s">
        <v>18</v>
      </c>
      <c r="B21" s="34" t="s">
        <v>19</v>
      </c>
      <c r="C21" s="103">
        <v>1.63</v>
      </c>
      <c r="D21" s="87">
        <f>D19*I21</f>
        <v>55180.77141657923</v>
      </c>
      <c r="E21" s="87">
        <f>E19*I21</f>
        <v>53747.743147953835</v>
      </c>
      <c r="F21" s="87">
        <f t="shared" si="0"/>
        <v>55180.77141657923</v>
      </c>
      <c r="G21" s="88">
        <f t="shared" si="1"/>
        <v>-1433.0282686253922</v>
      </c>
      <c r="H21" s="152">
        <f>C21</f>
        <v>1.63</v>
      </c>
      <c r="I21" s="71">
        <f>H21/H19</f>
        <v>0.17103882476390347</v>
      </c>
    </row>
    <row r="22" spans="1:9" s="71" customFormat="1" ht="15.75" customHeight="1">
      <c r="A22" s="85" t="s">
        <v>20</v>
      </c>
      <c r="B22" s="34" t="s">
        <v>21</v>
      </c>
      <c r="C22" s="103">
        <v>1.63</v>
      </c>
      <c r="D22" s="87">
        <f>D19*I22</f>
        <v>55180.77141657923</v>
      </c>
      <c r="E22" s="87">
        <f>E19*I22</f>
        <v>53747.743147953835</v>
      </c>
      <c r="F22" s="87">
        <f t="shared" si="0"/>
        <v>55180.77141657923</v>
      </c>
      <c r="G22" s="88">
        <f t="shared" si="1"/>
        <v>-1433.0282686253922</v>
      </c>
      <c r="H22" s="152">
        <f>C22</f>
        <v>1.63</v>
      </c>
      <c r="I22" s="71">
        <f>H22/H19</f>
        <v>0.17103882476390347</v>
      </c>
    </row>
    <row r="23" spans="1:9" s="71" customFormat="1" ht="15.75" customHeight="1">
      <c r="A23" s="85" t="s">
        <v>22</v>
      </c>
      <c r="B23" s="34" t="s">
        <v>23</v>
      </c>
      <c r="C23" s="103">
        <v>2.93</v>
      </c>
      <c r="D23" s="87">
        <f>D19*I23</f>
        <v>99189.97561385101</v>
      </c>
      <c r="E23" s="87">
        <f>E19*I23</f>
        <v>96614.04136411335</v>
      </c>
      <c r="F23" s="87">
        <f t="shared" si="0"/>
        <v>99189.97561385101</v>
      </c>
      <c r="G23" s="88">
        <f t="shared" si="1"/>
        <v>-2575.934249737664</v>
      </c>
      <c r="H23" s="152">
        <f>C23</f>
        <v>2.93</v>
      </c>
      <c r="I23" s="71">
        <f>H23/H19</f>
        <v>0.30745015739769155</v>
      </c>
    </row>
    <row r="24" spans="1:7" ht="15.75" customHeight="1">
      <c r="A24" s="41" t="s">
        <v>25</v>
      </c>
      <c r="B24" s="146" t="s">
        <v>141</v>
      </c>
      <c r="C24" s="46">
        <v>0</v>
      </c>
      <c r="D24" s="81">
        <v>0</v>
      </c>
      <c r="E24" s="81">
        <v>0</v>
      </c>
      <c r="F24" s="81">
        <f t="shared" si="0"/>
        <v>0</v>
      </c>
      <c r="G24" s="81">
        <f t="shared" si="1"/>
        <v>0</v>
      </c>
    </row>
    <row r="25" spans="1:7" ht="15.75" customHeight="1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11" ht="15.75" customHeight="1">
      <c r="A26" s="41" t="s">
        <v>29</v>
      </c>
      <c r="B26" s="146" t="s">
        <v>170</v>
      </c>
      <c r="C26" s="214">
        <v>0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  <c r="H26" s="221">
        <v>1</v>
      </c>
      <c r="I26" s="221">
        <v>1</v>
      </c>
      <c r="J26" s="390" t="s">
        <v>560</v>
      </c>
      <c r="K26" s="391"/>
    </row>
    <row r="27" spans="1:13" ht="15.75" customHeight="1">
      <c r="A27" s="41" t="s">
        <v>31</v>
      </c>
      <c r="B27" s="146" t="s">
        <v>119</v>
      </c>
      <c r="C27" s="101">
        <v>1.8</v>
      </c>
      <c r="D27" s="81">
        <v>60935.76</v>
      </c>
      <c r="E27" s="81">
        <v>59303.88</v>
      </c>
      <c r="F27" s="91">
        <f>F43</f>
        <v>20179.0388</v>
      </c>
      <c r="G27" s="81">
        <f t="shared" si="1"/>
        <v>-1631.8800000000047</v>
      </c>
      <c r="M27" s="167"/>
    </row>
    <row r="28" spans="1:7" ht="15.75" customHeight="1">
      <c r="A28" s="41" t="s">
        <v>33</v>
      </c>
      <c r="B28" s="140" t="s">
        <v>34</v>
      </c>
      <c r="C28" s="46">
        <v>0</v>
      </c>
      <c r="D28" s="81">
        <v>0</v>
      </c>
      <c r="E28" s="81">
        <v>360.48</v>
      </c>
      <c r="F28" s="91">
        <v>0</v>
      </c>
      <c r="G28" s="81">
        <f t="shared" si="1"/>
        <v>360.48</v>
      </c>
    </row>
    <row r="29" spans="1:7" ht="15.75" customHeight="1">
      <c r="A29" s="41" t="s">
        <v>35</v>
      </c>
      <c r="B29" s="140" t="s">
        <v>36</v>
      </c>
      <c r="C29" s="101"/>
      <c r="D29" s="81">
        <f>SUM(D30:D33)</f>
        <v>1184758.4900000002</v>
      </c>
      <c r="E29" s="81">
        <f>SUM(E30:E33)</f>
        <v>1187674.26</v>
      </c>
      <c r="F29" s="81">
        <f>SUM(F30:F33)</f>
        <v>1184758.4900000002</v>
      </c>
      <c r="G29" s="81">
        <f>SUM(G30:G33)</f>
        <v>2915.7699999999895</v>
      </c>
    </row>
    <row r="30" spans="1:7" ht="15.75" customHeight="1">
      <c r="A30" s="34" t="s">
        <v>37</v>
      </c>
      <c r="B30" s="34" t="s">
        <v>174</v>
      </c>
      <c r="C30" s="103" t="s">
        <v>300</v>
      </c>
      <c r="D30" s="88">
        <v>38686.16</v>
      </c>
      <c r="E30" s="88">
        <v>37719.25</v>
      </c>
      <c r="F30" s="88">
        <f>D30</f>
        <v>38686.16</v>
      </c>
      <c r="G30" s="88">
        <f>E30-D30</f>
        <v>-966.9100000000035</v>
      </c>
    </row>
    <row r="31" spans="1:7" ht="15.75" customHeight="1">
      <c r="A31" s="34" t="s">
        <v>39</v>
      </c>
      <c r="B31" s="34" t="s">
        <v>142</v>
      </c>
      <c r="C31" s="103" t="s">
        <v>315</v>
      </c>
      <c r="D31" s="88">
        <v>338659.9</v>
      </c>
      <c r="E31" s="88">
        <v>349645.08</v>
      </c>
      <c r="F31" s="88">
        <f>D31</f>
        <v>338659.9</v>
      </c>
      <c r="G31" s="88">
        <f>E31-D31</f>
        <v>10985.179999999993</v>
      </c>
    </row>
    <row r="32" spans="1:7" ht="15.75" customHeight="1">
      <c r="A32" s="34" t="s">
        <v>42</v>
      </c>
      <c r="B32" s="34" t="s">
        <v>40</v>
      </c>
      <c r="C32" s="205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ht="15.75" customHeight="1">
      <c r="A33" s="34" t="s">
        <v>41</v>
      </c>
      <c r="B33" s="34" t="s">
        <v>43</v>
      </c>
      <c r="C33" s="103" t="s">
        <v>301</v>
      </c>
      <c r="D33" s="88">
        <v>807412.43</v>
      </c>
      <c r="E33" s="88">
        <v>800309.93</v>
      </c>
      <c r="F33" s="88">
        <f>D33</f>
        <v>807412.43</v>
      </c>
      <c r="G33" s="88">
        <f>E33-D33</f>
        <v>-7102.5</v>
      </c>
      <c r="H33" s="105"/>
      <c r="I33" s="105"/>
    </row>
    <row r="34" spans="1:9" ht="15.75" customHeight="1" thickBot="1">
      <c r="A34" s="203" t="s">
        <v>639</v>
      </c>
      <c r="B34" s="204" t="s">
        <v>657</v>
      </c>
      <c r="C34" s="103"/>
      <c r="D34" s="88">
        <v>14400</v>
      </c>
      <c r="E34" s="88">
        <v>12470</v>
      </c>
      <c r="F34" s="87">
        <v>0</v>
      </c>
      <c r="G34" s="88">
        <f>E34-D34</f>
        <v>-1930</v>
      </c>
      <c r="H34" s="105"/>
      <c r="I34" s="105"/>
    </row>
    <row r="35" spans="1:10" s="106" customFormat="1" ht="14.25" thickBot="1">
      <c r="A35" s="319" t="s">
        <v>420</v>
      </c>
      <c r="B35" s="320"/>
      <c r="C35" s="320"/>
      <c r="D35" s="69">
        <f>D13+D19+D24+D25+D26+D27+D28+D29-E19-E24-E25-E26-E27-E28-E29</f>
        <v>166394.60000000033</v>
      </c>
      <c r="E35" s="70"/>
      <c r="F35" s="70"/>
      <c r="G35" s="70"/>
      <c r="H35" s="66"/>
      <c r="I35" s="66"/>
      <c r="J35" s="105"/>
    </row>
    <row r="36" spans="1:9" s="71" customFormat="1" ht="8.25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22432.25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-237286.6143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s="71" customFormat="1" ht="27.75" customHeight="1">
      <c r="A40" s="372" t="s">
        <v>44</v>
      </c>
      <c r="B40" s="372"/>
      <c r="C40" s="372"/>
      <c r="D40" s="372"/>
      <c r="E40" s="372"/>
      <c r="F40" s="372"/>
      <c r="G40" s="372"/>
      <c r="H40" s="372"/>
      <c r="I40" s="372"/>
    </row>
    <row r="42" spans="1:9" ht="28.5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  <c r="H42" s="179"/>
      <c r="I42" s="179"/>
    </row>
    <row r="43" spans="1:9" s="179" customFormat="1" ht="15">
      <c r="A43" s="113" t="s">
        <v>47</v>
      </c>
      <c r="B43" s="342" t="s">
        <v>114</v>
      </c>
      <c r="C43" s="345"/>
      <c r="D43" s="115"/>
      <c r="E43" s="115"/>
      <c r="F43" s="356">
        <f>SUM(F44:L47)</f>
        <v>20179.0388</v>
      </c>
      <c r="G43" s="351"/>
      <c r="H43" s="119"/>
      <c r="I43" s="119"/>
    </row>
    <row r="44" spans="1:9" s="119" customFormat="1" ht="13.5" customHeight="1">
      <c r="A44" s="34" t="s">
        <v>16</v>
      </c>
      <c r="B44" s="325" t="s">
        <v>366</v>
      </c>
      <c r="C44" s="327"/>
      <c r="D44" s="123" t="s">
        <v>265</v>
      </c>
      <c r="E44" s="123">
        <v>0.08</v>
      </c>
      <c r="F44" s="366">
        <v>2599</v>
      </c>
      <c r="G44" s="367"/>
      <c r="H44" s="35"/>
      <c r="I44" s="35"/>
    </row>
    <row r="45" spans="1:7" ht="13.5" customHeight="1">
      <c r="A45" s="34" t="s">
        <v>18</v>
      </c>
      <c r="B45" s="325" t="s">
        <v>628</v>
      </c>
      <c r="C45" s="327"/>
      <c r="D45" s="123" t="s">
        <v>352</v>
      </c>
      <c r="E45" s="126">
        <v>0.288</v>
      </c>
      <c r="F45" s="355">
        <v>8587</v>
      </c>
      <c r="G45" s="355"/>
    </row>
    <row r="46" spans="1:7" ht="13.5" customHeight="1">
      <c r="A46" s="34" t="s">
        <v>20</v>
      </c>
      <c r="B46" s="325" t="s">
        <v>663</v>
      </c>
      <c r="C46" s="350"/>
      <c r="D46" s="123"/>
      <c r="E46" s="159" t="s">
        <v>286</v>
      </c>
      <c r="F46" s="344">
        <v>8400</v>
      </c>
      <c r="G46" s="344"/>
    </row>
    <row r="47" spans="1:7" ht="15">
      <c r="A47" s="34" t="s">
        <v>22</v>
      </c>
      <c r="B47" s="155" t="s">
        <v>207</v>
      </c>
      <c r="C47" s="156"/>
      <c r="D47" s="123"/>
      <c r="E47" s="123"/>
      <c r="F47" s="355">
        <f>E27*1%</f>
        <v>593.0388</v>
      </c>
      <c r="G47" s="355"/>
    </row>
    <row r="48" spans="1:9" ht="15">
      <c r="A48" s="71"/>
      <c r="B48" s="71"/>
      <c r="C48" s="71"/>
      <c r="D48" s="71"/>
      <c r="E48" s="71"/>
      <c r="F48" s="71"/>
      <c r="G48" s="71"/>
      <c r="H48" s="71"/>
      <c r="I48" s="71"/>
    </row>
    <row r="49" spans="1:9" ht="15" customHeight="1">
      <c r="A49" s="71" t="s">
        <v>55</v>
      </c>
      <c r="B49" s="71"/>
      <c r="C49" s="71" t="s">
        <v>49</v>
      </c>
      <c r="D49" s="71"/>
      <c r="E49" s="71"/>
      <c r="F49" s="71" t="s">
        <v>93</v>
      </c>
      <c r="G49" s="71"/>
      <c r="H49" s="71"/>
      <c r="I49" s="71"/>
    </row>
    <row r="50" spans="1:9" ht="15">
      <c r="A50" s="71"/>
      <c r="B50" s="71"/>
      <c r="C50" s="71"/>
      <c r="D50" s="71"/>
      <c r="E50" s="71"/>
      <c r="F50" s="132" t="s">
        <v>296</v>
      </c>
      <c r="G50" s="71"/>
      <c r="H50" s="71"/>
      <c r="I50" s="71"/>
    </row>
    <row r="51" s="71" customFormat="1" ht="15">
      <c r="A51" s="71" t="s">
        <v>50</v>
      </c>
    </row>
    <row r="52" spans="3:7" s="71" customFormat="1" ht="13.5" customHeight="1">
      <c r="C52" s="134" t="s">
        <v>51</v>
      </c>
      <c r="E52" s="134"/>
      <c r="F52" s="134"/>
      <c r="G52" s="134"/>
    </row>
    <row r="53" s="71" customFormat="1" ht="15"/>
  </sheetData>
  <sheetProtection/>
  <mergeCells count="22">
    <mergeCell ref="F44:G44"/>
    <mergeCell ref="A35:C35"/>
    <mergeCell ref="A40:I40"/>
    <mergeCell ref="F47:G47"/>
    <mergeCell ref="F46:G46"/>
    <mergeCell ref="B42:C42"/>
    <mergeCell ref="F42:G42"/>
    <mergeCell ref="B43:C43"/>
    <mergeCell ref="B44:C44"/>
    <mergeCell ref="B45:C45"/>
    <mergeCell ref="B46:C46"/>
    <mergeCell ref="F45:G45"/>
    <mergeCell ref="F43:G43"/>
    <mergeCell ref="J26:K26"/>
    <mergeCell ref="A12:I12"/>
    <mergeCell ref="A1:I1"/>
    <mergeCell ref="A2:I2"/>
    <mergeCell ref="A5:I5"/>
    <mergeCell ref="A10:I10"/>
    <mergeCell ref="A3:K3"/>
    <mergeCell ref="A11:I11"/>
    <mergeCell ref="A13:C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52"/>
  <sheetViews>
    <sheetView zoomScalePageLayoutView="0" workbookViewId="0" topLeftCell="A1">
      <selection activeCell="G37" sqref="G37"/>
    </sheetView>
  </sheetViews>
  <sheetFormatPr defaultColWidth="9.140625" defaultRowHeight="15" outlineLevelCol="1"/>
  <cols>
    <col min="1" max="1" width="5.57421875" style="35" customWidth="1"/>
    <col min="2" max="2" width="40.28125" style="35" bestFit="1" customWidth="1"/>
    <col min="3" max="3" width="13.7109375" style="35" customWidth="1"/>
    <col min="4" max="4" width="13.421875" style="35" customWidth="1"/>
    <col min="5" max="5" width="13.00390625" style="35" customWidth="1"/>
    <col min="6" max="6" width="12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6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18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6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6" s="71" customFormat="1" ht="16.5" customHeight="1">
      <c r="A7" s="71" t="s">
        <v>2</v>
      </c>
      <c r="F7" s="132" t="s">
        <v>123</v>
      </c>
    </row>
    <row r="8" spans="1:9" s="71" customFormat="1" ht="15">
      <c r="A8" s="71" t="s">
        <v>3</v>
      </c>
      <c r="F8" s="132" t="s">
        <v>583</v>
      </c>
      <c r="I8" s="213" t="s">
        <v>584</v>
      </c>
    </row>
    <row r="9" s="71" customFormat="1" ht="15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129015.91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309">
        <f>'[1]Пионерская 1318'!$G$35</f>
        <v>-2317.68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309">
        <f>'[1]Пионерская 1318'!$G$36/64*50</f>
        <v>-14728.725625000001</v>
      </c>
      <c r="H16" s="66"/>
      <c r="I16" s="66"/>
    </row>
    <row r="17" s="71" customFormat="1" ht="8.25" customHeight="1"/>
    <row r="18" spans="1:8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  <c r="H18" s="76"/>
    </row>
    <row r="19" spans="1:8" s="175" customFormat="1" ht="14.25">
      <c r="A19" s="79" t="s">
        <v>14</v>
      </c>
      <c r="B19" s="140" t="s">
        <v>15</v>
      </c>
      <c r="C19" s="141">
        <f>C20+C21+C22+C23</f>
        <v>9.53</v>
      </c>
      <c r="D19" s="80">
        <v>305942.44</v>
      </c>
      <c r="E19" s="80">
        <v>292323.51</v>
      </c>
      <c r="F19" s="80">
        <f>D19</f>
        <v>305942.44</v>
      </c>
      <c r="G19" s="81">
        <f aca="true" t="shared" si="0" ref="G19:G27">D19-E19</f>
        <v>13618.929999999993</v>
      </c>
      <c r="H19" s="174">
        <f>C19</f>
        <v>9.53</v>
      </c>
    </row>
    <row r="20" spans="1:9" s="71" customFormat="1" ht="15">
      <c r="A20" s="85" t="s">
        <v>16</v>
      </c>
      <c r="B20" s="145" t="s">
        <v>17</v>
      </c>
      <c r="C20" s="103">
        <v>3.34</v>
      </c>
      <c r="D20" s="87">
        <f>D19*I20</f>
        <v>107224.3179013641</v>
      </c>
      <c r="E20" s="87">
        <f>E19*I20</f>
        <v>102451.26163693599</v>
      </c>
      <c r="F20" s="87">
        <f>D20</f>
        <v>107224.3179013641</v>
      </c>
      <c r="G20" s="88">
        <f t="shared" si="0"/>
        <v>4773.056264428116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145" t="s">
        <v>19</v>
      </c>
      <c r="C21" s="103">
        <v>1.63</v>
      </c>
      <c r="D21" s="87">
        <f>D19*I21</f>
        <v>52328.03538300105</v>
      </c>
      <c r="E21" s="87">
        <f>E19*I21</f>
        <v>49998.669601259186</v>
      </c>
      <c r="F21" s="87">
        <f>D21</f>
        <v>52328.03538300105</v>
      </c>
      <c r="G21" s="88">
        <f t="shared" si="0"/>
        <v>2329.3657817418643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145" t="s">
        <v>21</v>
      </c>
      <c r="C22" s="103">
        <v>1.63</v>
      </c>
      <c r="D22" s="87">
        <f>D19*I22</f>
        <v>52328.03538300105</v>
      </c>
      <c r="E22" s="87">
        <f>E19*I22</f>
        <v>49998.669601259186</v>
      </c>
      <c r="F22" s="87">
        <f>D22</f>
        <v>52328.03538300105</v>
      </c>
      <c r="G22" s="88">
        <f t="shared" si="0"/>
        <v>2329.3657817418643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145" t="s">
        <v>23</v>
      </c>
      <c r="C23" s="103">
        <v>2.93</v>
      </c>
      <c r="D23" s="87">
        <f>D19*I23</f>
        <v>94062.0513326338</v>
      </c>
      <c r="E23" s="87">
        <f>E19*I23</f>
        <v>89874.90916054566</v>
      </c>
      <c r="F23" s="87">
        <f>D23</f>
        <v>94062.0513326338</v>
      </c>
      <c r="G23" s="88">
        <f t="shared" si="0"/>
        <v>4187.1421720881335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28</v>
      </c>
      <c r="C24" s="147">
        <v>0</v>
      </c>
      <c r="D24" s="81">
        <v>0</v>
      </c>
      <c r="E24" s="81">
        <v>0</v>
      </c>
      <c r="F24" s="81"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170</v>
      </c>
      <c r="C25" s="147" t="s">
        <v>314</v>
      </c>
      <c r="D25" s="81">
        <v>0</v>
      </c>
      <c r="E25" s="81">
        <v>0</v>
      </c>
      <c r="F25" s="81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119</v>
      </c>
      <c r="C26" s="147">
        <v>1.8</v>
      </c>
      <c r="D26" s="81">
        <v>55276.56</v>
      </c>
      <c r="E26" s="81">
        <v>54739.29</v>
      </c>
      <c r="F26" s="91">
        <f>F42</f>
        <v>93360.7804</v>
      </c>
      <c r="G26" s="81">
        <f t="shared" si="0"/>
        <v>537.2699999999968</v>
      </c>
    </row>
    <row r="27" spans="1:7" s="39" customFormat="1" ht="14.25">
      <c r="A27" s="41" t="s">
        <v>224</v>
      </c>
      <c r="B27" s="140" t="s">
        <v>34</v>
      </c>
      <c r="C27" s="141">
        <v>0</v>
      </c>
      <c r="D27" s="81">
        <v>0</v>
      </c>
      <c r="E27" s="81">
        <v>1.43</v>
      </c>
      <c r="F27" s="91">
        <f>D27</f>
        <v>0</v>
      </c>
      <c r="G27" s="81">
        <f t="shared" si="0"/>
        <v>-1.43</v>
      </c>
    </row>
    <row r="28" spans="1:7" s="39" customFormat="1" ht="14.25">
      <c r="A28" s="41" t="s">
        <v>225</v>
      </c>
      <c r="B28" s="140" t="s">
        <v>36</v>
      </c>
      <c r="C28" s="141"/>
      <c r="D28" s="81">
        <f>SUM(D29:D32)</f>
        <v>981146.6000000001</v>
      </c>
      <c r="E28" s="81">
        <f>SUM(E29:E32)</f>
        <v>989465.22</v>
      </c>
      <c r="F28" s="81">
        <f>SUM(F29:F32)</f>
        <v>981146.6000000001</v>
      </c>
      <c r="G28" s="81">
        <f>SUM(G29:G32)</f>
        <v>-8318.619999999944</v>
      </c>
    </row>
    <row r="29" spans="1:7" ht="15">
      <c r="A29" s="34" t="s">
        <v>226</v>
      </c>
      <c r="B29" s="34" t="s">
        <v>174</v>
      </c>
      <c r="C29" s="103" t="s">
        <v>408</v>
      </c>
      <c r="D29" s="88">
        <v>23666.51</v>
      </c>
      <c r="E29" s="88">
        <v>22814.63</v>
      </c>
      <c r="F29" s="187">
        <f>D29</f>
        <v>23666.51</v>
      </c>
      <c r="G29" s="88">
        <f>D29-E29</f>
        <v>851.8799999999974</v>
      </c>
    </row>
    <row r="30" spans="1:7" ht="15">
      <c r="A30" s="34" t="s">
        <v>227</v>
      </c>
      <c r="B30" s="34" t="s">
        <v>142</v>
      </c>
      <c r="C30" s="103" t="s">
        <v>324</v>
      </c>
      <c r="D30" s="88">
        <v>334652.05</v>
      </c>
      <c r="E30" s="88">
        <v>345292.01</v>
      </c>
      <c r="F30" s="187">
        <f>D30</f>
        <v>334652.05</v>
      </c>
      <c r="G30" s="88">
        <f>D30-E30</f>
        <v>-10639.960000000021</v>
      </c>
    </row>
    <row r="31" spans="1:7" ht="15">
      <c r="A31" s="34" t="s">
        <v>228</v>
      </c>
      <c r="B31" s="34" t="s">
        <v>40</v>
      </c>
      <c r="C31" s="149">
        <v>0</v>
      </c>
      <c r="D31" s="88">
        <v>0</v>
      </c>
      <c r="E31" s="88">
        <v>0</v>
      </c>
      <c r="F31" s="187">
        <f>D31</f>
        <v>0</v>
      </c>
      <c r="G31" s="88">
        <f>D31-E31</f>
        <v>0</v>
      </c>
    </row>
    <row r="32" spans="1:7" ht="15">
      <c r="A32" s="34" t="s">
        <v>229</v>
      </c>
      <c r="B32" s="34" t="s">
        <v>43</v>
      </c>
      <c r="C32" s="103" t="s">
        <v>383</v>
      </c>
      <c r="D32" s="88">
        <v>622828.04</v>
      </c>
      <c r="E32" s="88">
        <v>621358.58</v>
      </c>
      <c r="F32" s="187">
        <f>D32</f>
        <v>622828.04</v>
      </c>
      <c r="G32" s="88">
        <f>D32-E32</f>
        <v>1469.4600000000792</v>
      </c>
    </row>
    <row r="33" spans="1:7" ht="15">
      <c r="A33" s="41" t="s">
        <v>35</v>
      </c>
      <c r="B33" s="204" t="s">
        <v>641</v>
      </c>
      <c r="C33" s="103"/>
      <c r="D33" s="88">
        <v>13594</v>
      </c>
      <c r="E33" s="88">
        <v>11930</v>
      </c>
      <c r="F33" s="187">
        <f>D33</f>
        <v>13594</v>
      </c>
      <c r="G33" s="88">
        <f>D33-E33</f>
        <v>1664</v>
      </c>
    </row>
    <row r="34" spans="1:9" s="71" customFormat="1" ht="15.75" thickBot="1">
      <c r="A34" s="347" t="s">
        <v>420</v>
      </c>
      <c r="B34" s="348"/>
      <c r="C34" s="348"/>
      <c r="D34" s="297">
        <f>D13+D19+D24+D25+D26+D27+D28-E19-E24-E25-E26-E27-E28</f>
        <v>134852.06000000006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309">
        <f>G15+E27-F27</f>
        <v>-2316.25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309">
        <f>G16+E26-F26</f>
        <v>-53350.216025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ht="33.75" customHeight="1">
      <c r="A39" s="321" t="s">
        <v>44</v>
      </c>
      <c r="B39" s="349"/>
      <c r="C39" s="349"/>
      <c r="D39" s="349"/>
      <c r="E39" s="349"/>
      <c r="F39" s="349"/>
      <c r="G39" s="349"/>
      <c r="H39" s="62"/>
      <c r="I39" s="62"/>
    </row>
    <row r="41" spans="1:7" s="179" customFormat="1" ht="28.5" customHeight="1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1"/>
    </row>
    <row r="42" spans="1:7" s="119" customFormat="1" ht="15" customHeight="1">
      <c r="A42" s="113" t="s">
        <v>47</v>
      </c>
      <c r="B42" s="342" t="s">
        <v>114</v>
      </c>
      <c r="C42" s="345"/>
      <c r="D42" s="310"/>
      <c r="E42" s="310"/>
      <c r="F42" s="353">
        <f>SUM(F43:G47)</f>
        <v>93360.7804</v>
      </c>
      <c r="G42" s="354"/>
    </row>
    <row r="43" spans="1:7" ht="15.75" customHeight="1">
      <c r="A43" s="34" t="s">
        <v>16</v>
      </c>
      <c r="B43" s="325" t="s">
        <v>628</v>
      </c>
      <c r="C43" s="327"/>
      <c r="D43" s="123" t="s">
        <v>352</v>
      </c>
      <c r="E43" s="126">
        <f>0.065/64*50</f>
        <v>0.05078125</v>
      </c>
      <c r="F43" s="344">
        <f>10486/64*50</f>
        <v>8192.1875</v>
      </c>
      <c r="G43" s="344"/>
    </row>
    <row r="44" spans="1:7" ht="15.75" customHeight="1">
      <c r="A44" s="34" t="s">
        <v>18</v>
      </c>
      <c r="B44" s="325" t="s">
        <v>650</v>
      </c>
      <c r="C44" s="327"/>
      <c r="D44" s="123" t="s">
        <v>173</v>
      </c>
      <c r="E44" s="123">
        <v>1</v>
      </c>
      <c r="F44" s="344">
        <v>35000</v>
      </c>
      <c r="G44" s="344"/>
    </row>
    <row r="45" spans="1:7" ht="25.5" customHeight="1">
      <c r="A45" s="34" t="s">
        <v>20</v>
      </c>
      <c r="B45" s="325" t="s">
        <v>663</v>
      </c>
      <c r="C45" s="350"/>
      <c r="D45" s="123"/>
      <c r="E45" s="159" t="s">
        <v>286</v>
      </c>
      <c r="F45" s="344">
        <v>8960</v>
      </c>
      <c r="G45" s="344"/>
    </row>
    <row r="46" spans="1:7" ht="25.5" customHeight="1">
      <c r="A46" s="34" t="s">
        <v>22</v>
      </c>
      <c r="B46" s="325" t="s">
        <v>701</v>
      </c>
      <c r="C46" s="350"/>
      <c r="D46" s="123"/>
      <c r="E46" s="159"/>
      <c r="F46" s="344">
        <v>40661.2</v>
      </c>
      <c r="G46" s="344"/>
    </row>
    <row r="47" spans="1:7" ht="15.75" customHeight="1">
      <c r="A47" s="34" t="s">
        <v>24</v>
      </c>
      <c r="B47" s="331" t="s">
        <v>207</v>
      </c>
      <c r="C47" s="346"/>
      <c r="D47" s="311"/>
      <c r="E47" s="311"/>
      <c r="F47" s="344">
        <f>E26*1%</f>
        <v>547.3929</v>
      </c>
      <c r="G47" s="344"/>
    </row>
    <row r="48" spans="2:5" ht="15">
      <c r="B48" s="162"/>
      <c r="C48" s="162"/>
      <c r="D48" s="162"/>
      <c r="E48" s="162"/>
    </row>
    <row r="49" spans="1:6" s="71" customFormat="1" ht="15">
      <c r="A49" s="71" t="s">
        <v>55</v>
      </c>
      <c r="C49" s="71" t="s">
        <v>49</v>
      </c>
      <c r="F49" s="71" t="s">
        <v>93</v>
      </c>
    </row>
    <row r="50" s="71" customFormat="1" ht="15">
      <c r="F50" s="132" t="s">
        <v>331</v>
      </c>
    </row>
    <row r="51" s="71" customFormat="1" ht="15">
      <c r="A51" s="71" t="s">
        <v>50</v>
      </c>
    </row>
    <row r="52" spans="3:7" s="71" customFormat="1" ht="15">
      <c r="C52" s="134" t="s">
        <v>51</v>
      </c>
      <c r="E52" s="134"/>
      <c r="F52" s="134"/>
      <c r="G52" s="134"/>
    </row>
    <row r="53" s="71" customFormat="1" ht="15"/>
    <row r="54" s="71" customFormat="1" ht="15"/>
  </sheetData>
  <sheetProtection/>
  <mergeCells count="24">
    <mergeCell ref="B46:C46"/>
    <mergeCell ref="F46:G46"/>
    <mergeCell ref="B45:C45"/>
    <mergeCell ref="F45:G45"/>
    <mergeCell ref="F43:G43"/>
    <mergeCell ref="F41:G41"/>
    <mergeCell ref="B41:C41"/>
    <mergeCell ref="F42:G42"/>
    <mergeCell ref="A11:I11"/>
    <mergeCell ref="A1:I1"/>
    <mergeCell ref="A2:I2"/>
    <mergeCell ref="A5:I5"/>
    <mergeCell ref="A10:I10"/>
    <mergeCell ref="A3:K3"/>
    <mergeCell ref="F47:G47"/>
    <mergeCell ref="B42:C42"/>
    <mergeCell ref="B43:C43"/>
    <mergeCell ref="B47:C47"/>
    <mergeCell ref="A12:I12"/>
    <mergeCell ref="B44:C44"/>
    <mergeCell ref="F44:G44"/>
    <mergeCell ref="A13:C13"/>
    <mergeCell ref="A34:C34"/>
    <mergeCell ref="A39:G39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2"/>
  <sheetViews>
    <sheetView zoomScalePageLayoutView="0" workbookViewId="0" topLeftCell="A23">
      <selection activeCell="A17" sqref="A17"/>
    </sheetView>
  </sheetViews>
  <sheetFormatPr defaultColWidth="9.140625" defaultRowHeight="15" outlineLevelCol="1"/>
  <cols>
    <col min="1" max="1" width="4.7109375" style="35" customWidth="1"/>
    <col min="2" max="2" width="48.140625" style="35" customWidth="1"/>
    <col min="3" max="3" width="13.00390625" style="35" customWidth="1"/>
    <col min="4" max="4" width="12.7109375" style="35" customWidth="1"/>
    <col min="5" max="5" width="14.140625" style="35" customWidth="1"/>
    <col min="6" max="6" width="13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6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7.5" customHeight="1"/>
    <row r="7" spans="1:6" s="71" customFormat="1" ht="16.5" customHeight="1">
      <c r="A7" s="71" t="s">
        <v>2</v>
      </c>
      <c r="F7" s="132" t="s">
        <v>125</v>
      </c>
    </row>
    <row r="8" spans="1:6" s="71" customFormat="1" ht="15">
      <c r="A8" s="71" t="s">
        <v>3</v>
      </c>
      <c r="F8" s="132" t="s">
        <v>346</v>
      </c>
    </row>
    <row r="9" s="71" customFormat="1" ht="6.7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37174.48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'[1]Чичерина 12 к.1'!$G$36</f>
        <v>17055.13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'[1]Чичерина 12 к.1'!$G$37</f>
        <v>122478.50129999999</v>
      </c>
      <c r="H16" s="66"/>
      <c r="I16" s="66"/>
    </row>
    <row r="17" s="71" customFormat="1" ht="6.75" customHeight="1"/>
    <row r="18" spans="1:7" s="78" customFormat="1" ht="36.75" customHeight="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15">
      <c r="A19" s="79" t="s">
        <v>14</v>
      </c>
      <c r="B19" s="41" t="s">
        <v>15</v>
      </c>
      <c r="C19" s="141">
        <f>C20+C21+C22+C23</f>
        <v>9.969999999999999</v>
      </c>
      <c r="D19" s="80">
        <v>166635.04</v>
      </c>
      <c r="E19" s="80">
        <v>165536.27</v>
      </c>
      <c r="F19" s="80">
        <f>D19</f>
        <v>166635.04</v>
      </c>
      <c r="G19" s="81">
        <f aca="true" t="shared" si="0" ref="G19:G28">E19-D19</f>
        <v>-1098.7700000000186</v>
      </c>
      <c r="H19" s="82">
        <f>C19</f>
        <v>9.969999999999999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55823.57408224674</v>
      </c>
      <c r="E20" s="87">
        <f>E19*I20</f>
        <v>55455.480621865594</v>
      </c>
      <c r="F20" s="87">
        <f>D20</f>
        <v>55823.57408224674</v>
      </c>
      <c r="G20" s="88">
        <f t="shared" si="0"/>
        <v>-368.09346038114745</v>
      </c>
      <c r="H20" s="82">
        <f>C20</f>
        <v>3.34</v>
      </c>
      <c r="I20" s="71">
        <f>H20/H19</f>
        <v>0.3350050150451354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27243.241243731198</v>
      </c>
      <c r="E21" s="87">
        <f>E19*I21</f>
        <v>27063.60281845537</v>
      </c>
      <c r="F21" s="87">
        <f>D21</f>
        <v>27243.241243731198</v>
      </c>
      <c r="G21" s="88">
        <f t="shared" si="0"/>
        <v>-179.63842527582892</v>
      </c>
      <c r="H21" s="82">
        <f>C21</f>
        <v>1.63</v>
      </c>
      <c r="I21" s="71">
        <f>H21/H19</f>
        <v>0.16349047141424275</v>
      </c>
    </row>
    <row r="22" spans="1:9" s="71" customFormat="1" ht="15">
      <c r="A22" s="85" t="s">
        <v>20</v>
      </c>
      <c r="B22" s="34" t="s">
        <v>21</v>
      </c>
      <c r="C22" s="103">
        <v>2.07</v>
      </c>
      <c r="D22" s="87">
        <f>D19*I22</f>
        <v>34597.24501504514</v>
      </c>
      <c r="E22" s="87">
        <f>E19*I22</f>
        <v>34369.11523570712</v>
      </c>
      <c r="F22" s="87">
        <f>D22</f>
        <v>34597.24501504514</v>
      </c>
      <c r="G22" s="88">
        <f t="shared" si="0"/>
        <v>-228.12977933802176</v>
      </c>
      <c r="H22" s="82">
        <f>C22</f>
        <v>2.07</v>
      </c>
      <c r="I22" s="71">
        <f>H22/H19</f>
        <v>0.20762286860581747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48970.97965897694</v>
      </c>
      <c r="E23" s="87">
        <f>E19*I23</f>
        <v>48648.07132397192</v>
      </c>
      <c r="F23" s="87">
        <f>D23</f>
        <v>48970.97965897694</v>
      </c>
      <c r="G23" s="88">
        <f t="shared" si="0"/>
        <v>-322.9083350050205</v>
      </c>
      <c r="H23" s="82">
        <f>C23</f>
        <v>2.93</v>
      </c>
      <c r="I23" s="71">
        <f>H23/H19</f>
        <v>0.29388164493480445</v>
      </c>
    </row>
    <row r="24" spans="1:7" ht="15">
      <c r="A24" s="41" t="s">
        <v>25</v>
      </c>
      <c r="B24" s="146" t="s">
        <v>179</v>
      </c>
      <c r="C24" s="147">
        <v>0</v>
      </c>
      <c r="D24" s="81">
        <v>0</v>
      </c>
      <c r="E24" s="81">
        <v>0</v>
      </c>
      <c r="F24" s="81">
        <v>0</v>
      </c>
      <c r="G24" s="81">
        <f>E24-D24</f>
        <v>0</v>
      </c>
    </row>
    <row r="25" spans="1:7" ht="15">
      <c r="A25" s="41" t="s">
        <v>27</v>
      </c>
      <c r="B25" s="146" t="s">
        <v>28</v>
      </c>
      <c r="C25" s="147">
        <v>0</v>
      </c>
      <c r="D25" s="81">
        <v>0</v>
      </c>
      <c r="E25" s="81">
        <v>0</v>
      </c>
      <c r="F25" s="81">
        <f>D25</f>
        <v>0</v>
      </c>
      <c r="G25" s="81">
        <f t="shared" si="0"/>
        <v>0</v>
      </c>
    </row>
    <row r="26" spans="1:7" ht="15">
      <c r="A26" s="41" t="s">
        <v>29</v>
      </c>
      <c r="B26" s="146" t="s">
        <v>170</v>
      </c>
      <c r="C26" s="147">
        <v>39.62</v>
      </c>
      <c r="D26" s="81">
        <v>0</v>
      </c>
      <c r="E26" s="81">
        <v>0</v>
      </c>
      <c r="F26" s="81">
        <f>D26</f>
        <v>0</v>
      </c>
      <c r="G26" s="81">
        <f t="shared" si="0"/>
        <v>0</v>
      </c>
    </row>
    <row r="27" spans="1:7" ht="15">
      <c r="A27" s="41" t="s">
        <v>31</v>
      </c>
      <c r="B27" s="146" t="s">
        <v>119</v>
      </c>
      <c r="C27" s="147">
        <v>1.99</v>
      </c>
      <c r="D27" s="81">
        <v>33181.2</v>
      </c>
      <c r="E27" s="81">
        <v>33011.87</v>
      </c>
      <c r="F27" s="91">
        <f>F43</f>
        <v>7016.8687</v>
      </c>
      <c r="G27" s="81">
        <f t="shared" si="0"/>
        <v>-169.32999999999447</v>
      </c>
    </row>
    <row r="28" spans="1:7" ht="15">
      <c r="A28" s="41" t="s">
        <v>33</v>
      </c>
      <c r="B28" s="140" t="s">
        <v>34</v>
      </c>
      <c r="C28" s="141">
        <v>0</v>
      </c>
      <c r="D28" s="81">
        <v>0</v>
      </c>
      <c r="E28" s="81">
        <v>0</v>
      </c>
      <c r="F28" s="91">
        <v>0</v>
      </c>
      <c r="G28" s="81">
        <f t="shared" si="0"/>
        <v>0</v>
      </c>
    </row>
    <row r="29" spans="1:7" ht="15">
      <c r="A29" s="41" t="s">
        <v>35</v>
      </c>
      <c r="B29" s="140" t="s">
        <v>36</v>
      </c>
      <c r="C29" s="141"/>
      <c r="D29" s="81">
        <f>SUM(D30:D33)</f>
        <v>803291.47</v>
      </c>
      <c r="E29" s="81">
        <f>SUM(E30:E33)</f>
        <v>798044.2</v>
      </c>
      <c r="F29" s="81">
        <f>SUM(F30:F33)</f>
        <v>803291.47</v>
      </c>
      <c r="G29" s="81">
        <f>SUM(G30:G33)</f>
        <v>-5247.27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14713.26</v>
      </c>
      <c r="E30" s="88">
        <v>14634.74</v>
      </c>
      <c r="F30" s="88">
        <f>D30</f>
        <v>14713.26</v>
      </c>
      <c r="G30" s="88">
        <f>E30-D30</f>
        <v>-78.52000000000044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121773.41</v>
      </c>
      <c r="E31" s="88">
        <v>122773.5</v>
      </c>
      <c r="F31" s="88">
        <f>D31</f>
        <v>121773.41</v>
      </c>
      <c r="G31" s="88">
        <f>E31-D31</f>
        <v>1000.0899999999965</v>
      </c>
    </row>
    <row r="32" spans="1:7" ht="15">
      <c r="A32" s="34" t="s">
        <v>42</v>
      </c>
      <c r="B32" s="34" t="s">
        <v>143</v>
      </c>
      <c r="C32" s="205" t="s">
        <v>382</v>
      </c>
      <c r="D32" s="88">
        <v>194649.35</v>
      </c>
      <c r="E32" s="88">
        <v>193065.06</v>
      </c>
      <c r="F32" s="88">
        <f>D32</f>
        <v>194649.35</v>
      </c>
      <c r="G32" s="88">
        <f>E32-D32</f>
        <v>-1584.2900000000081</v>
      </c>
    </row>
    <row r="33" spans="1:7" ht="15.75" thickBot="1">
      <c r="A33" s="34" t="s">
        <v>41</v>
      </c>
      <c r="B33" s="34" t="s">
        <v>43</v>
      </c>
      <c r="C33" s="103" t="s">
        <v>301</v>
      </c>
      <c r="D33" s="88">
        <v>472155.45</v>
      </c>
      <c r="E33" s="88">
        <v>467570.9</v>
      </c>
      <c r="F33" s="88">
        <f>D33</f>
        <v>472155.45</v>
      </c>
      <c r="G33" s="88">
        <f>E33-D33</f>
        <v>-4584.549999999988</v>
      </c>
    </row>
    <row r="34" spans="1:10" s="106" customFormat="1" ht="18.75" customHeight="1" thickBot="1">
      <c r="A34" s="319" t="s">
        <v>420</v>
      </c>
      <c r="B34" s="320"/>
      <c r="C34" s="320"/>
      <c r="D34" s="69">
        <f>D13+D19+D24+D25+D26+D27+D28+D29-E19-E24-E25-E26-E27-E28-E29</f>
        <v>43689.84999999998</v>
      </c>
      <c r="E34" s="70"/>
      <c r="F34" s="70"/>
      <c r="G34" s="70"/>
      <c r="H34" s="105"/>
      <c r="I34" s="105"/>
      <c r="J34" s="105"/>
    </row>
    <row r="35" spans="1:9" s="71" customFormat="1" ht="13.5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17055.13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148473.5026</v>
      </c>
      <c r="H37" s="66"/>
      <c r="I37" s="66"/>
    </row>
    <row r="38" spans="2:5" ht="15">
      <c r="B38" s="162"/>
      <c r="C38" s="162"/>
      <c r="D38" s="162"/>
      <c r="E38" s="162"/>
    </row>
    <row r="39" spans="2:5" ht="2.25" customHeight="1">
      <c r="B39" s="162"/>
      <c r="C39" s="162"/>
      <c r="D39" s="162"/>
      <c r="E39" s="162"/>
    </row>
    <row r="40" spans="1:9" ht="24" customHeight="1">
      <c r="A40" s="321" t="s">
        <v>44</v>
      </c>
      <c r="B40" s="321"/>
      <c r="C40" s="321"/>
      <c r="D40" s="321"/>
      <c r="E40" s="321"/>
      <c r="F40" s="321"/>
      <c r="G40" s="321"/>
      <c r="H40" s="321"/>
      <c r="I40" s="321"/>
    </row>
    <row r="41" ht="3" customHeight="1"/>
    <row r="42" spans="1:7" s="179" customFormat="1" ht="28.5" customHeight="1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</row>
    <row r="43" spans="1:7" s="119" customFormat="1" ht="13.5" customHeight="1">
      <c r="A43" s="113" t="s">
        <v>47</v>
      </c>
      <c r="B43" s="342" t="s">
        <v>114</v>
      </c>
      <c r="C43" s="345"/>
      <c r="D43" s="115"/>
      <c r="E43" s="115"/>
      <c r="F43" s="356">
        <f>SUM(F44:L47)</f>
        <v>7016.8687</v>
      </c>
      <c r="G43" s="351"/>
    </row>
    <row r="44" spans="1:7" ht="29.25" customHeight="1">
      <c r="A44" s="34" t="s">
        <v>16</v>
      </c>
      <c r="B44" s="325" t="s">
        <v>180</v>
      </c>
      <c r="C44" s="327"/>
      <c r="D44" s="123"/>
      <c r="E44" s="123" t="s">
        <v>317</v>
      </c>
      <c r="F44" s="366">
        <v>541.75</v>
      </c>
      <c r="G44" s="367"/>
    </row>
    <row r="45" spans="1:7" ht="18" customHeight="1">
      <c r="A45" s="34" t="s">
        <v>18</v>
      </c>
      <c r="B45" s="325" t="s">
        <v>628</v>
      </c>
      <c r="C45" s="327"/>
      <c r="D45" s="123" t="s">
        <v>352</v>
      </c>
      <c r="E45" s="126">
        <v>0.108</v>
      </c>
      <c r="F45" s="366">
        <v>3345</v>
      </c>
      <c r="G45" s="367"/>
    </row>
    <row r="46" spans="1:7" ht="29.25" customHeight="1">
      <c r="A46" s="34" t="s">
        <v>20</v>
      </c>
      <c r="B46" s="325" t="s">
        <v>663</v>
      </c>
      <c r="C46" s="350"/>
      <c r="D46" s="123"/>
      <c r="E46" s="159" t="s">
        <v>286</v>
      </c>
      <c r="F46" s="344">
        <v>2800</v>
      </c>
      <c r="G46" s="344"/>
    </row>
    <row r="47" spans="1:7" s="71" customFormat="1" ht="15">
      <c r="A47" s="34" t="s">
        <v>22</v>
      </c>
      <c r="B47" s="155" t="s">
        <v>207</v>
      </c>
      <c r="C47" s="156"/>
      <c r="D47" s="123"/>
      <c r="E47" s="123"/>
      <c r="F47" s="355">
        <f>E27*1%</f>
        <v>330.11870000000005</v>
      </c>
      <c r="G47" s="355"/>
    </row>
    <row r="48" spans="1:7" ht="15">
      <c r="A48" s="71"/>
      <c r="B48" s="71"/>
      <c r="C48" s="71"/>
      <c r="D48" s="71"/>
      <c r="E48" s="71"/>
      <c r="F48" s="71"/>
      <c r="G48" s="71"/>
    </row>
    <row r="49" spans="1:7" ht="15">
      <c r="A49" s="71" t="s">
        <v>55</v>
      </c>
      <c r="B49" s="71"/>
      <c r="C49" s="71" t="s">
        <v>49</v>
      </c>
      <c r="D49" s="71"/>
      <c r="E49" s="71"/>
      <c r="F49" s="71" t="s">
        <v>93</v>
      </c>
      <c r="G49" s="71"/>
    </row>
    <row r="50" spans="1:7" ht="15">
      <c r="A50" s="71"/>
      <c r="B50" s="71"/>
      <c r="C50" s="71"/>
      <c r="D50" s="71"/>
      <c r="E50" s="71"/>
      <c r="F50" s="132" t="s">
        <v>296</v>
      </c>
      <c r="G50" s="71"/>
    </row>
    <row r="51" spans="1:7" ht="15">
      <c r="A51" s="71" t="s">
        <v>50</v>
      </c>
      <c r="B51" s="71"/>
      <c r="C51" s="71"/>
      <c r="D51" s="71"/>
      <c r="E51" s="71"/>
      <c r="F51" s="71"/>
      <c r="G51" s="71"/>
    </row>
    <row r="52" spans="1:7" ht="15">
      <c r="A52" s="71"/>
      <c r="B52" s="71"/>
      <c r="C52" s="134" t="s">
        <v>51</v>
      </c>
      <c r="D52" s="71"/>
      <c r="E52" s="134"/>
      <c r="F52" s="134"/>
      <c r="G52" s="134"/>
    </row>
  </sheetData>
  <sheetProtection/>
  <mergeCells count="21">
    <mergeCell ref="B44:C44"/>
    <mergeCell ref="F43:G43"/>
    <mergeCell ref="A11:I11"/>
    <mergeCell ref="A13:C13"/>
    <mergeCell ref="B43:C43"/>
    <mergeCell ref="A40:I40"/>
    <mergeCell ref="F47:G47"/>
    <mergeCell ref="A34:C34"/>
    <mergeCell ref="B45:C45"/>
    <mergeCell ref="F45:G45"/>
    <mergeCell ref="F44:G44"/>
    <mergeCell ref="A12:I12"/>
    <mergeCell ref="B42:C42"/>
    <mergeCell ref="F42:G42"/>
    <mergeCell ref="F46:G46"/>
    <mergeCell ref="B46:C46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1:K51"/>
  <sheetViews>
    <sheetView zoomScalePageLayoutView="0" workbookViewId="0" topLeftCell="A5">
      <selection activeCell="A17" sqref="A17"/>
    </sheetView>
  </sheetViews>
  <sheetFormatPr defaultColWidth="9.140625" defaultRowHeight="15" outlineLevelCol="1"/>
  <cols>
    <col min="1" max="1" width="4.7109375" style="35" customWidth="1"/>
    <col min="2" max="2" width="48.7109375" style="35" customWidth="1"/>
    <col min="3" max="3" width="14.28125" style="35" customWidth="1"/>
    <col min="4" max="4" width="13.28125" style="35" customWidth="1"/>
    <col min="5" max="5" width="13.00390625" style="35" customWidth="1"/>
    <col min="6" max="6" width="13.28125" style="35" customWidth="1"/>
    <col min="7" max="7" width="14.00390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9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.7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6.75" customHeight="1"/>
    <row r="7" spans="1:6" s="71" customFormat="1" ht="16.5" customHeight="1">
      <c r="A7" s="71" t="s">
        <v>2</v>
      </c>
      <c r="F7" s="132" t="s">
        <v>126</v>
      </c>
    </row>
    <row r="8" spans="1:6" s="71" customFormat="1" ht="15">
      <c r="A8" s="71" t="s">
        <v>3</v>
      </c>
      <c r="F8" s="132" t="s">
        <v>85</v>
      </c>
    </row>
    <row r="9" s="71" customFormat="1" ht="6.7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56462.05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'[1]Телевизионная 6 к.1'!$G$36</f>
        <v>2910.05</v>
      </c>
      <c r="H15" s="66"/>
      <c r="I15" s="66"/>
    </row>
    <row r="16" spans="1:7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'[1]Телевизионная 6 к.1'!$G$37</f>
        <v>35809.7465</v>
      </c>
    </row>
    <row r="17" s="71" customFormat="1" ht="15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15">
      <c r="A19" s="79" t="s">
        <v>14</v>
      </c>
      <c r="B19" s="41" t="s">
        <v>15</v>
      </c>
      <c r="C19" s="141">
        <f>C20+C21+C22+C23</f>
        <v>9.53</v>
      </c>
      <c r="D19" s="80">
        <v>103088.73</v>
      </c>
      <c r="E19" s="80">
        <v>91564.7</v>
      </c>
      <c r="F19" s="80">
        <f aca="true" t="shared" si="0" ref="F19:F26">D19</f>
        <v>103088.73</v>
      </c>
      <c r="G19" s="81">
        <f aca="true" t="shared" si="1" ref="G19:G28">E19-D19</f>
        <v>-11524.029999999999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36129.73328436516</v>
      </c>
      <c r="E20" s="87">
        <f>E19*I20</f>
        <v>32090.88121720881</v>
      </c>
      <c r="F20" s="87">
        <f t="shared" si="0"/>
        <v>36129.73328436516</v>
      </c>
      <c r="G20" s="88">
        <f t="shared" si="1"/>
        <v>-4038.852067156349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17632.175225603358</v>
      </c>
      <c r="E21" s="87">
        <f>E19*I21</f>
        <v>15661.118677859393</v>
      </c>
      <c r="F21" s="87">
        <f t="shared" si="0"/>
        <v>17632.175225603358</v>
      </c>
      <c r="G21" s="88">
        <f t="shared" si="1"/>
        <v>-1971.056547743965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17632.175225603358</v>
      </c>
      <c r="E22" s="87">
        <f>E19*I22</f>
        <v>15661.118677859393</v>
      </c>
      <c r="F22" s="87">
        <f t="shared" si="0"/>
        <v>17632.175225603358</v>
      </c>
      <c r="G22" s="88">
        <f t="shared" si="1"/>
        <v>-1971.056547743965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31694.646264428124</v>
      </c>
      <c r="E23" s="87">
        <f>E19*I23</f>
        <v>28151.581427072408</v>
      </c>
      <c r="F23" s="87">
        <f t="shared" si="0"/>
        <v>31694.646264428124</v>
      </c>
      <c r="G23" s="88">
        <f t="shared" si="1"/>
        <v>-3543.064837355716</v>
      </c>
      <c r="H23" s="152">
        <f>C23</f>
        <v>2.93</v>
      </c>
      <c r="I23" s="71">
        <f>H23/H19</f>
        <v>0.30745015739769155</v>
      </c>
    </row>
    <row r="24" spans="1:7" ht="15">
      <c r="A24" s="41" t="s">
        <v>25</v>
      </c>
      <c r="B24" s="146" t="s">
        <v>141</v>
      </c>
      <c r="C24" s="46">
        <v>0</v>
      </c>
      <c r="D24" s="81">
        <v>0</v>
      </c>
      <c r="E24" s="81">
        <v>0</v>
      </c>
      <c r="F24" s="81">
        <f t="shared" si="0"/>
        <v>0</v>
      </c>
      <c r="G24" s="81">
        <f t="shared" si="1"/>
        <v>0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7" ht="15">
      <c r="A26" s="41" t="s">
        <v>29</v>
      </c>
      <c r="B26" s="146" t="s">
        <v>170</v>
      </c>
      <c r="C26" s="147">
        <v>0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</row>
    <row r="27" spans="1:7" ht="15">
      <c r="A27" s="41" t="s">
        <v>31</v>
      </c>
      <c r="B27" s="146" t="s">
        <v>119</v>
      </c>
      <c r="C27" s="101">
        <v>1.8</v>
      </c>
      <c r="D27" s="81">
        <v>19448.64</v>
      </c>
      <c r="E27" s="81">
        <v>17297.35</v>
      </c>
      <c r="F27" s="91">
        <f>F42</f>
        <v>3514.7235</v>
      </c>
      <c r="G27" s="81">
        <f t="shared" si="1"/>
        <v>-2151.290000000001</v>
      </c>
    </row>
    <row r="28" spans="1:7" ht="15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91">
        <v>0</v>
      </c>
      <c r="G28" s="81">
        <f t="shared" si="1"/>
        <v>0</v>
      </c>
    </row>
    <row r="29" spans="1:7" ht="15">
      <c r="A29" s="41" t="s">
        <v>35</v>
      </c>
      <c r="B29" s="140" t="s">
        <v>36</v>
      </c>
      <c r="C29" s="101"/>
      <c r="D29" s="81">
        <f>SUM(D30:D33)</f>
        <v>491801.51</v>
      </c>
      <c r="E29" s="81">
        <f>SUM(E30:E33)</f>
        <v>424323.44</v>
      </c>
      <c r="F29" s="81">
        <f>SUM(F30:F33)</f>
        <v>491801.51</v>
      </c>
      <c r="G29" s="81">
        <f>SUM(G30:G33)</f>
        <v>-67478.06999999996</v>
      </c>
    </row>
    <row r="30" spans="1:7" ht="15">
      <c r="A30" s="34" t="s">
        <v>37</v>
      </c>
      <c r="B30" s="34" t="s">
        <v>174</v>
      </c>
      <c r="C30" s="103" t="s">
        <v>300</v>
      </c>
      <c r="D30" s="222">
        <v>8498.28</v>
      </c>
      <c r="E30" s="222">
        <v>7570.3</v>
      </c>
      <c r="F30" s="222">
        <f>D30</f>
        <v>8498.28</v>
      </c>
      <c r="G30" s="222">
        <f>E30-D30</f>
        <v>-927.9800000000005</v>
      </c>
    </row>
    <row r="31" spans="1:7" ht="15">
      <c r="A31" s="34" t="s">
        <v>39</v>
      </c>
      <c r="B31" s="34" t="s">
        <v>142</v>
      </c>
      <c r="C31" s="103" t="s">
        <v>315</v>
      </c>
      <c r="D31" s="222">
        <v>177345.01</v>
      </c>
      <c r="E31" s="222">
        <v>147942.11</v>
      </c>
      <c r="F31" s="222">
        <f>D31</f>
        <v>177345.01</v>
      </c>
      <c r="G31" s="222">
        <f>E31-D31</f>
        <v>-29402.900000000023</v>
      </c>
    </row>
    <row r="32" spans="1:7" ht="15">
      <c r="A32" s="34" t="s">
        <v>42</v>
      </c>
      <c r="B32" s="34" t="s">
        <v>40</v>
      </c>
      <c r="C32" s="205"/>
      <c r="D32" s="222">
        <v>0</v>
      </c>
      <c r="E32" s="222">
        <v>0</v>
      </c>
      <c r="F32" s="222">
        <f>D32</f>
        <v>0</v>
      </c>
      <c r="G32" s="222">
        <f>E32-D32</f>
        <v>0</v>
      </c>
    </row>
    <row r="33" spans="1:9" ht="15.75" thickBot="1">
      <c r="A33" s="34" t="s">
        <v>41</v>
      </c>
      <c r="B33" s="34" t="s">
        <v>43</v>
      </c>
      <c r="C33" s="103" t="s">
        <v>301</v>
      </c>
      <c r="D33" s="222">
        <v>305958.22</v>
      </c>
      <c r="E33" s="222">
        <v>268811.03</v>
      </c>
      <c r="F33" s="222">
        <f>D33</f>
        <v>305958.22</v>
      </c>
      <c r="G33" s="222">
        <f>E33-D33</f>
        <v>-37147.189999999944</v>
      </c>
      <c r="H33" s="105"/>
      <c r="I33" s="105"/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137615.44</v>
      </c>
      <c r="E34" s="70"/>
      <c r="F34" s="70"/>
      <c r="G34" s="70"/>
      <c r="H34" s="66"/>
      <c r="I34" s="66"/>
      <c r="J34" s="105"/>
    </row>
    <row r="35" spans="1:9" s="71" customFormat="1" ht="10.5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2910.05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49592.373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24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1" spans="1:9" ht="28.5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s="179" customFormat="1" ht="15">
      <c r="A42" s="113" t="s">
        <v>47</v>
      </c>
      <c r="B42" s="342" t="s">
        <v>114</v>
      </c>
      <c r="C42" s="345"/>
      <c r="D42" s="115"/>
      <c r="E42" s="115"/>
      <c r="F42" s="356">
        <f>SUM(F43:L45)</f>
        <v>3514.7235</v>
      </c>
      <c r="G42" s="351"/>
      <c r="H42" s="119"/>
      <c r="I42" s="119"/>
    </row>
    <row r="43" spans="1:9" s="71" customFormat="1" ht="26.25">
      <c r="A43" s="34" t="s">
        <v>16</v>
      </c>
      <c r="B43" s="325" t="s">
        <v>180</v>
      </c>
      <c r="C43" s="327"/>
      <c r="D43" s="123"/>
      <c r="E43" s="123" t="s">
        <v>317</v>
      </c>
      <c r="F43" s="355">
        <v>541.75</v>
      </c>
      <c r="G43" s="355"/>
      <c r="H43" s="35"/>
      <c r="I43" s="35"/>
    </row>
    <row r="44" spans="1:9" s="71" customFormat="1" ht="15">
      <c r="A44" s="34" t="s">
        <v>18</v>
      </c>
      <c r="B44" s="325" t="s">
        <v>663</v>
      </c>
      <c r="C44" s="350"/>
      <c r="D44" s="123"/>
      <c r="E44" s="159" t="s">
        <v>286</v>
      </c>
      <c r="F44" s="344">
        <v>2800</v>
      </c>
      <c r="G44" s="344"/>
      <c r="H44" s="35"/>
      <c r="I44" s="35"/>
    </row>
    <row r="45" spans="1:9" s="71" customFormat="1" ht="15">
      <c r="A45" s="34" t="s">
        <v>20</v>
      </c>
      <c r="B45" s="155" t="s">
        <v>207</v>
      </c>
      <c r="C45" s="156"/>
      <c r="D45" s="123"/>
      <c r="E45" s="123"/>
      <c r="F45" s="355">
        <f>E27*1%</f>
        <v>172.9735</v>
      </c>
      <c r="G45" s="355"/>
      <c r="H45" s="35"/>
      <c r="I45" s="35"/>
    </row>
    <row r="46" s="71" customFormat="1" ht="11.25" customHeight="1"/>
    <row r="47" spans="1:6" s="71" customFormat="1" ht="15">
      <c r="A47" s="71" t="s">
        <v>55</v>
      </c>
      <c r="C47" s="71" t="s">
        <v>49</v>
      </c>
      <c r="F47" s="71" t="s">
        <v>93</v>
      </c>
    </row>
    <row r="48" s="71" customFormat="1" ht="15">
      <c r="F48" s="132" t="s">
        <v>296</v>
      </c>
    </row>
    <row r="49" spans="1:9" ht="15">
      <c r="A49" s="71" t="s">
        <v>50</v>
      </c>
      <c r="B49" s="71"/>
      <c r="C49" s="71"/>
      <c r="D49" s="71"/>
      <c r="E49" s="71"/>
      <c r="F49" s="71"/>
      <c r="G49" s="71"/>
      <c r="H49" s="71"/>
      <c r="I49" s="71"/>
    </row>
    <row r="50" spans="1:9" ht="15">
      <c r="A50" s="71"/>
      <c r="B50" s="71"/>
      <c r="C50" s="134" t="s">
        <v>51</v>
      </c>
      <c r="D50" s="71"/>
      <c r="E50" s="134"/>
      <c r="F50" s="134"/>
      <c r="G50" s="134"/>
      <c r="H50" s="71"/>
      <c r="I50" s="71"/>
    </row>
    <row r="51" spans="1:9" ht="15">
      <c r="A51" s="71"/>
      <c r="B51" s="71"/>
      <c r="C51" s="71"/>
      <c r="D51" s="71"/>
      <c r="E51" s="71"/>
      <c r="F51" s="71"/>
      <c r="G51" s="71"/>
      <c r="H51" s="71"/>
      <c r="I51" s="71"/>
    </row>
  </sheetData>
  <sheetProtection/>
  <mergeCells count="19">
    <mergeCell ref="F44:G44"/>
    <mergeCell ref="F45:G45"/>
    <mergeCell ref="B43:C43"/>
    <mergeCell ref="B44:C44"/>
    <mergeCell ref="F43:G43"/>
    <mergeCell ref="A34:C34"/>
    <mergeCell ref="A39:I39"/>
    <mergeCell ref="B41:C41"/>
    <mergeCell ref="F41:G41"/>
    <mergeCell ref="B42:C42"/>
    <mergeCell ref="A12:I12"/>
    <mergeCell ref="F42:G42"/>
    <mergeCell ref="A13:C13"/>
    <mergeCell ref="A11:I11"/>
    <mergeCell ref="A1:I1"/>
    <mergeCell ref="A2:I2"/>
    <mergeCell ref="A5:I5"/>
    <mergeCell ref="A10:I10"/>
    <mergeCell ref="A3:K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zoomScalePageLayoutView="0" workbookViewId="0" topLeftCell="A10">
      <selection activeCell="A17" sqref="A17"/>
    </sheetView>
  </sheetViews>
  <sheetFormatPr defaultColWidth="9.140625" defaultRowHeight="15" outlineLevelCol="1"/>
  <cols>
    <col min="1" max="1" width="6.140625" style="35" customWidth="1"/>
    <col min="2" max="2" width="48.28125" style="35" customWidth="1"/>
    <col min="3" max="3" width="14.57421875" style="35" customWidth="1"/>
    <col min="4" max="4" width="13.140625" style="35" customWidth="1"/>
    <col min="5" max="5" width="13.00390625" style="35" customWidth="1"/>
    <col min="6" max="6" width="13.140625" style="35" customWidth="1"/>
    <col min="7" max="7" width="13.8515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 customHeight="1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 customHeight="1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4.2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8.2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3.5" customHeight="1">
      <c r="A5" s="334" t="s">
        <v>1</v>
      </c>
      <c r="B5" s="334"/>
      <c r="C5" s="334"/>
      <c r="D5" s="334"/>
      <c r="E5" s="334"/>
      <c r="F5" s="334"/>
      <c r="G5" s="334"/>
      <c r="H5" s="334"/>
      <c r="I5" s="334"/>
    </row>
    <row r="6" ht="3.75" customHeight="1"/>
    <row r="7" spans="1:6" s="71" customFormat="1" ht="16.5" customHeight="1">
      <c r="A7" s="71" t="s">
        <v>2</v>
      </c>
      <c r="F7" s="132" t="s">
        <v>86</v>
      </c>
    </row>
    <row r="8" spans="1:6" s="71" customFormat="1" ht="15">
      <c r="A8" s="71" t="s">
        <v>3</v>
      </c>
      <c r="F8" s="132" t="s">
        <v>358</v>
      </c>
    </row>
    <row r="9" s="71" customFormat="1" ht="6.7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986936.6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'[1]Пионерская 2'!$G$36</f>
        <v>5697.05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'[1]Пионерская 2'!$G$37</f>
        <v>-356212.43600000005</v>
      </c>
      <c r="H16" s="66"/>
      <c r="I16" s="66"/>
    </row>
    <row r="17" s="71" customFormat="1" ht="6.75" customHeight="1"/>
    <row r="18" spans="1:7" s="78" customFormat="1" ht="52.5" customHeight="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15">
      <c r="A19" s="79" t="s">
        <v>14</v>
      </c>
      <c r="B19" s="41" t="s">
        <v>15</v>
      </c>
      <c r="C19" s="141">
        <f>C20+C21+C22+C23</f>
        <v>9.969999999999999</v>
      </c>
      <c r="D19" s="80">
        <v>660176.96</v>
      </c>
      <c r="E19" s="80">
        <v>634952.09</v>
      </c>
      <c r="F19" s="80">
        <f>D19</f>
        <v>660176.96</v>
      </c>
      <c r="G19" s="81">
        <f aca="true" t="shared" si="0" ref="G19:G28">E19-D19</f>
        <v>-25224.869999999995</v>
      </c>
      <c r="H19" s="82">
        <f>C19</f>
        <v>9.969999999999999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221162.59241725176</v>
      </c>
      <c r="E20" s="87">
        <f>E19*I20</f>
        <v>212712.13446339016</v>
      </c>
      <c r="F20" s="87">
        <f>D20</f>
        <v>221162.59241725176</v>
      </c>
      <c r="G20" s="88">
        <f t="shared" si="0"/>
        <v>-8450.457953861594</v>
      </c>
      <c r="H20" s="82">
        <f>C20</f>
        <v>3.34</v>
      </c>
      <c r="I20" s="71">
        <f>H20/H19</f>
        <v>0.3350050150451354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107932.64240722168</v>
      </c>
      <c r="E21" s="87">
        <f>E19*I21</f>
        <v>103808.61651955868</v>
      </c>
      <c r="F21" s="87">
        <f>D21</f>
        <v>107932.64240722168</v>
      </c>
      <c r="G21" s="88">
        <f t="shared" si="0"/>
        <v>-4124.025887662996</v>
      </c>
      <c r="H21" s="82">
        <f>C21</f>
        <v>1.63</v>
      </c>
      <c r="I21" s="71">
        <f>H21/H19</f>
        <v>0.16349047141424275</v>
      </c>
    </row>
    <row r="22" spans="1:9" s="71" customFormat="1" ht="15">
      <c r="A22" s="85" t="s">
        <v>20</v>
      </c>
      <c r="B22" s="34" t="s">
        <v>21</v>
      </c>
      <c r="C22" s="103">
        <v>2.07</v>
      </c>
      <c r="D22" s="87">
        <f>D19*I22</f>
        <v>137067.834222668</v>
      </c>
      <c r="E22" s="87">
        <f>E19*I22</f>
        <v>131830.57435305917</v>
      </c>
      <c r="F22" s="87">
        <f>D22</f>
        <v>137067.834222668</v>
      </c>
      <c r="G22" s="88">
        <f t="shared" si="0"/>
        <v>-5237.259869608824</v>
      </c>
      <c r="H22" s="82">
        <f>C22</f>
        <v>2.07</v>
      </c>
      <c r="I22" s="71">
        <f>H22/H19</f>
        <v>0.20762286860581747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194013.89095285858</v>
      </c>
      <c r="E23" s="87">
        <f>E19*I23</f>
        <v>186600.76466399198</v>
      </c>
      <c r="F23" s="87">
        <f>D23</f>
        <v>194013.89095285858</v>
      </c>
      <c r="G23" s="88">
        <f t="shared" si="0"/>
        <v>-7413.126288866595</v>
      </c>
      <c r="H23" s="82">
        <f>C23</f>
        <v>2.93</v>
      </c>
      <c r="I23" s="71">
        <f>H23/H19</f>
        <v>0.29388164493480445</v>
      </c>
    </row>
    <row r="24" spans="1:7" ht="15">
      <c r="A24" s="41" t="s">
        <v>25</v>
      </c>
      <c r="B24" s="146" t="s">
        <v>179</v>
      </c>
      <c r="C24" s="147">
        <v>0</v>
      </c>
      <c r="D24" s="81">
        <v>0</v>
      </c>
      <c r="E24" s="81">
        <v>0</v>
      </c>
      <c r="F24" s="81">
        <v>0</v>
      </c>
      <c r="G24" s="81">
        <f>E24-D24</f>
        <v>0</v>
      </c>
    </row>
    <row r="25" spans="1:7" ht="15">
      <c r="A25" s="41" t="s">
        <v>27</v>
      </c>
      <c r="B25" s="146" t="s">
        <v>28</v>
      </c>
      <c r="C25" s="147">
        <v>0</v>
      </c>
      <c r="D25" s="81">
        <v>0</v>
      </c>
      <c r="E25" s="81">
        <v>0</v>
      </c>
      <c r="F25" s="81">
        <f>D25</f>
        <v>0</v>
      </c>
      <c r="G25" s="81">
        <f t="shared" si="0"/>
        <v>0</v>
      </c>
    </row>
    <row r="26" spans="1:7" ht="15">
      <c r="A26" s="41" t="s">
        <v>29</v>
      </c>
      <c r="B26" s="146" t="s">
        <v>170</v>
      </c>
      <c r="C26" s="147">
        <v>39.62</v>
      </c>
      <c r="D26" s="81">
        <v>0</v>
      </c>
      <c r="E26" s="81">
        <v>0</v>
      </c>
      <c r="F26" s="81">
        <f>D26</f>
        <v>0</v>
      </c>
      <c r="G26" s="81">
        <f t="shared" si="0"/>
        <v>0</v>
      </c>
    </row>
    <row r="27" spans="1:13" ht="15">
      <c r="A27" s="41" t="s">
        <v>31</v>
      </c>
      <c r="B27" s="146" t="s">
        <v>119</v>
      </c>
      <c r="C27" s="147">
        <v>1.99</v>
      </c>
      <c r="D27" s="81">
        <v>131613.84</v>
      </c>
      <c r="E27" s="81">
        <v>127412.78</v>
      </c>
      <c r="F27" s="91">
        <f>F42</f>
        <v>126001.6278</v>
      </c>
      <c r="G27" s="81">
        <f t="shared" si="0"/>
        <v>-4201.059999999998</v>
      </c>
      <c r="M27" s="167"/>
    </row>
    <row r="28" spans="1:7" ht="15">
      <c r="A28" s="41" t="s">
        <v>33</v>
      </c>
      <c r="B28" s="140" t="s">
        <v>34</v>
      </c>
      <c r="C28" s="141">
        <v>0</v>
      </c>
      <c r="D28" s="81">
        <v>0</v>
      </c>
      <c r="E28" s="81">
        <v>0</v>
      </c>
      <c r="F28" s="91">
        <v>0</v>
      </c>
      <c r="G28" s="81">
        <f t="shared" si="0"/>
        <v>0</v>
      </c>
    </row>
    <row r="29" spans="1:7" ht="15">
      <c r="A29" s="41" t="s">
        <v>35</v>
      </c>
      <c r="B29" s="140" t="s">
        <v>36</v>
      </c>
      <c r="C29" s="141"/>
      <c r="D29" s="81">
        <f>SUM(D30:D33)</f>
        <v>3050595.54</v>
      </c>
      <c r="E29" s="81">
        <f>SUM(E30:E33)</f>
        <v>2969602.06</v>
      </c>
      <c r="F29" s="81">
        <f>SUM(F30:F33)</f>
        <v>3050595.54</v>
      </c>
      <c r="G29" s="81">
        <f>SUM(G30:G33)</f>
        <v>-80993.47999999978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56547.24</v>
      </c>
      <c r="E30" s="88">
        <v>71662.58</v>
      </c>
      <c r="F30" s="88">
        <f>D30</f>
        <v>56547.24</v>
      </c>
      <c r="G30" s="88">
        <f>E30-D30</f>
        <v>15115.340000000004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433410.91</v>
      </c>
      <c r="E31" s="88">
        <v>428544.61</v>
      </c>
      <c r="F31" s="88">
        <f>D31</f>
        <v>433410.91</v>
      </c>
      <c r="G31" s="88">
        <f>E31-D31</f>
        <v>-4866.299999999988</v>
      </c>
    </row>
    <row r="32" spans="1:7" ht="15">
      <c r="A32" s="34" t="s">
        <v>42</v>
      </c>
      <c r="B32" s="34" t="s">
        <v>143</v>
      </c>
      <c r="C32" s="205" t="s">
        <v>382</v>
      </c>
      <c r="D32" s="88">
        <v>687850</v>
      </c>
      <c r="E32" s="88">
        <v>653520.55</v>
      </c>
      <c r="F32" s="88">
        <f>D32</f>
        <v>687850</v>
      </c>
      <c r="G32" s="88">
        <f>E32-D32</f>
        <v>-34329.44999999995</v>
      </c>
    </row>
    <row r="33" spans="1:7" ht="15.75" thickBot="1">
      <c r="A33" s="34" t="s">
        <v>41</v>
      </c>
      <c r="B33" s="34" t="s">
        <v>43</v>
      </c>
      <c r="C33" s="103" t="s">
        <v>301</v>
      </c>
      <c r="D33" s="88">
        <v>1872787.39</v>
      </c>
      <c r="E33" s="88">
        <v>1815874.32</v>
      </c>
      <c r="F33" s="88">
        <f>D33</f>
        <v>1872787.39</v>
      </c>
      <c r="G33" s="88">
        <f>E33-D33</f>
        <v>-56913.06999999983</v>
      </c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1097356.0100000007</v>
      </c>
      <c r="E34" s="70"/>
      <c r="F34" s="70"/>
      <c r="G34" s="70"/>
      <c r="H34" s="105"/>
      <c r="I34" s="105"/>
      <c r="J34" s="105"/>
    </row>
    <row r="35" spans="1:9" s="71" customFormat="1" ht="5.25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5697.05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-354801.28380000003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ht="24.75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0" ht="3" customHeight="1"/>
    <row r="41" spans="1:7" s="179" customFormat="1" ht="28.5" customHeight="1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</row>
    <row r="42" spans="1:7" s="119" customFormat="1" ht="13.5" customHeight="1">
      <c r="A42" s="113" t="s">
        <v>47</v>
      </c>
      <c r="B42" s="342" t="s">
        <v>114</v>
      </c>
      <c r="C42" s="345"/>
      <c r="D42" s="115"/>
      <c r="E42" s="115"/>
      <c r="F42" s="356">
        <f>SUM(F43:L50)</f>
        <v>126001.6278</v>
      </c>
      <c r="G42" s="351"/>
    </row>
    <row r="43" spans="1:7" ht="25.5" customHeight="1">
      <c r="A43" s="34" t="s">
        <v>16</v>
      </c>
      <c r="B43" s="325" t="s">
        <v>180</v>
      </c>
      <c r="C43" s="327"/>
      <c r="D43" s="123"/>
      <c r="E43" s="208" t="s">
        <v>317</v>
      </c>
      <c r="F43" s="366">
        <v>3250</v>
      </c>
      <c r="G43" s="367"/>
    </row>
    <row r="44" spans="1:7" ht="13.5" customHeight="1">
      <c r="A44" s="34" t="s">
        <v>18</v>
      </c>
      <c r="B44" s="325" t="s">
        <v>359</v>
      </c>
      <c r="C44" s="327"/>
      <c r="D44" s="123" t="s">
        <v>177</v>
      </c>
      <c r="E44" s="208">
        <v>1300</v>
      </c>
      <c r="F44" s="355">
        <v>9114.3</v>
      </c>
      <c r="G44" s="355"/>
    </row>
    <row r="45" spans="1:7" ht="24.75" customHeight="1">
      <c r="A45" s="34" t="s">
        <v>20</v>
      </c>
      <c r="B45" s="325" t="s">
        <v>630</v>
      </c>
      <c r="C45" s="327"/>
      <c r="D45" s="123"/>
      <c r="E45" s="208" t="s">
        <v>317</v>
      </c>
      <c r="F45" s="366">
        <v>11981.2</v>
      </c>
      <c r="G45" s="367"/>
    </row>
    <row r="46" spans="1:7" ht="13.5" customHeight="1">
      <c r="A46" s="34" t="s">
        <v>22</v>
      </c>
      <c r="B46" s="325" t="s">
        <v>628</v>
      </c>
      <c r="C46" s="327"/>
      <c r="D46" s="123" t="s">
        <v>352</v>
      </c>
      <c r="E46" s="208">
        <v>0.742</v>
      </c>
      <c r="F46" s="366">
        <v>22276</v>
      </c>
      <c r="G46" s="367"/>
    </row>
    <row r="47" spans="1:7" ht="13.5" customHeight="1">
      <c r="A47" s="34" t="s">
        <v>24</v>
      </c>
      <c r="B47" s="325" t="s">
        <v>379</v>
      </c>
      <c r="C47" s="327"/>
      <c r="D47" s="123"/>
      <c r="E47" s="208" t="s">
        <v>286</v>
      </c>
      <c r="F47" s="366">
        <v>25606</v>
      </c>
      <c r="G47" s="367"/>
    </row>
    <row r="48" spans="1:7" ht="13.5" customHeight="1">
      <c r="A48" s="34" t="s">
        <v>106</v>
      </c>
      <c r="B48" s="325" t="s">
        <v>700</v>
      </c>
      <c r="C48" s="327"/>
      <c r="D48" s="123"/>
      <c r="E48" s="208"/>
      <c r="F48" s="366">
        <v>13400</v>
      </c>
      <c r="G48" s="367"/>
    </row>
    <row r="49" spans="1:7" ht="13.5" customHeight="1">
      <c r="A49" s="34" t="s">
        <v>107</v>
      </c>
      <c r="B49" s="325" t="s">
        <v>699</v>
      </c>
      <c r="C49" s="327"/>
      <c r="D49" s="123"/>
      <c r="E49" s="208"/>
      <c r="F49" s="366">
        <v>39100</v>
      </c>
      <c r="G49" s="367"/>
    </row>
    <row r="50" spans="1:9" s="71" customFormat="1" ht="15">
      <c r="A50" s="34" t="s">
        <v>120</v>
      </c>
      <c r="B50" s="155" t="s">
        <v>207</v>
      </c>
      <c r="C50" s="156"/>
      <c r="D50" s="123"/>
      <c r="E50" s="123"/>
      <c r="F50" s="355">
        <f>E27*1%</f>
        <v>1274.1278</v>
      </c>
      <c r="G50" s="355"/>
      <c r="H50" s="35"/>
      <c r="I50" s="35"/>
    </row>
    <row r="51" s="71" customFormat="1" ht="12.75" customHeight="1"/>
    <row r="52" spans="1:6" s="71" customFormat="1" ht="15">
      <c r="A52" s="71" t="s">
        <v>55</v>
      </c>
      <c r="C52" s="71" t="s">
        <v>49</v>
      </c>
      <c r="F52" s="71" t="s">
        <v>93</v>
      </c>
    </row>
    <row r="53" s="71" customFormat="1" ht="15">
      <c r="F53" s="132" t="s">
        <v>296</v>
      </c>
    </row>
    <row r="54" spans="1:9" ht="15">
      <c r="A54" s="71" t="s">
        <v>50</v>
      </c>
      <c r="B54" s="71"/>
      <c r="C54" s="71"/>
      <c r="D54" s="71"/>
      <c r="E54" s="71"/>
      <c r="F54" s="71"/>
      <c r="G54" s="71"/>
      <c r="H54" s="71"/>
      <c r="I54" s="71"/>
    </row>
    <row r="55" spans="1:9" ht="15">
      <c r="A55" s="71"/>
      <c r="B55" s="71"/>
      <c r="C55" s="134" t="s">
        <v>51</v>
      </c>
      <c r="D55" s="71"/>
      <c r="E55" s="134"/>
      <c r="F55" s="134"/>
      <c r="G55" s="134"/>
      <c r="H55" s="71"/>
      <c r="I55" s="71"/>
    </row>
  </sheetData>
  <sheetProtection/>
  <mergeCells count="29">
    <mergeCell ref="F50:G50"/>
    <mergeCell ref="B46:C46"/>
    <mergeCell ref="B47:C47"/>
    <mergeCell ref="F46:G46"/>
    <mergeCell ref="F47:G47"/>
    <mergeCell ref="B48:C48"/>
    <mergeCell ref="F48:G48"/>
    <mergeCell ref="B49:C49"/>
    <mergeCell ref="F49:G49"/>
    <mergeCell ref="A12:I12"/>
    <mergeCell ref="F44:G44"/>
    <mergeCell ref="B42:C42"/>
    <mergeCell ref="B44:C44"/>
    <mergeCell ref="F45:G45"/>
    <mergeCell ref="B43:C43"/>
    <mergeCell ref="F42:G42"/>
    <mergeCell ref="F43:G43"/>
    <mergeCell ref="A13:C13"/>
    <mergeCell ref="B45:C45"/>
    <mergeCell ref="A39:I39"/>
    <mergeCell ref="F41:G41"/>
    <mergeCell ref="A34:C34"/>
    <mergeCell ref="B41:C41"/>
    <mergeCell ref="A1:I1"/>
    <mergeCell ref="A2:I2"/>
    <mergeCell ref="A5:I5"/>
    <mergeCell ref="A10:I10"/>
    <mergeCell ref="A3:K3"/>
    <mergeCell ref="A11:I11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6"/>
  <sheetViews>
    <sheetView zoomScalePageLayoutView="0" workbookViewId="0" topLeftCell="A1">
      <selection activeCell="A17" sqref="A17"/>
    </sheetView>
  </sheetViews>
  <sheetFormatPr defaultColWidth="9.140625" defaultRowHeight="15" outlineLevelCol="1"/>
  <cols>
    <col min="1" max="1" width="4.7109375" style="35" customWidth="1"/>
    <col min="2" max="2" width="49.28125" style="35" customWidth="1"/>
    <col min="3" max="3" width="13.140625" style="35" customWidth="1"/>
    <col min="4" max="4" width="12.8515625" style="35" customWidth="1"/>
    <col min="5" max="5" width="13.140625" style="35" customWidth="1"/>
    <col min="6" max="6" width="12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1" width="9.140625" style="35" hidden="1" customWidth="1" outlineLevel="1"/>
    <col min="12" max="12" width="0.7187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2.7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4.5" customHeight="1"/>
    <row r="7" spans="1:6" s="71" customFormat="1" ht="16.5" customHeight="1">
      <c r="A7" s="71" t="s">
        <v>2</v>
      </c>
      <c r="F7" s="64" t="s">
        <v>127</v>
      </c>
    </row>
    <row r="8" spans="1:6" s="71" customFormat="1" ht="15">
      <c r="A8" s="71" t="s">
        <v>3</v>
      </c>
      <c r="F8" s="132" t="s">
        <v>338</v>
      </c>
    </row>
    <row r="9" s="71" customFormat="1" ht="5.2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1193274.23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'[1]Телевизионная 2 к.1'!$G$36</f>
        <v>29814.170000000002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'[1]Телевизионная 2 к.1'!$G$37</f>
        <v>-55892.75320000002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15">
      <c r="A19" s="79" t="s">
        <v>14</v>
      </c>
      <c r="B19" s="41" t="s">
        <v>15</v>
      </c>
      <c r="C19" s="141">
        <f>C20+C21+C22+C23</f>
        <v>9.82</v>
      </c>
      <c r="D19" s="80">
        <v>739866.24</v>
      </c>
      <c r="E19" s="80">
        <v>548305.66</v>
      </c>
      <c r="F19" s="80">
        <f aca="true" t="shared" si="0" ref="F19:F26">D19</f>
        <v>739866.24</v>
      </c>
      <c r="G19" s="81">
        <f aca="true" t="shared" si="1" ref="G19:G28">E19-D19</f>
        <v>-191560.57999999996</v>
      </c>
      <c r="H19" s="82">
        <f>C19</f>
        <v>9.82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251644.9329531568</v>
      </c>
      <c r="E20" s="87">
        <f>E19*I20</f>
        <v>186490.92712830956</v>
      </c>
      <c r="F20" s="87">
        <f t="shared" si="0"/>
        <v>251644.9329531568</v>
      </c>
      <c r="G20" s="88">
        <f t="shared" si="1"/>
        <v>-65154.005824847234</v>
      </c>
      <c r="H20" s="82">
        <f>C20</f>
        <v>3.34</v>
      </c>
      <c r="I20" s="71">
        <f>H20/H19</f>
        <v>0.340122199592668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122808.7547046843</v>
      </c>
      <c r="E21" s="87">
        <f>E19*I21</f>
        <v>91012.03928716903</v>
      </c>
      <c r="F21" s="87">
        <f t="shared" si="0"/>
        <v>122808.7547046843</v>
      </c>
      <c r="G21" s="88">
        <f t="shared" si="1"/>
        <v>-31796.71541751527</v>
      </c>
      <c r="H21" s="82">
        <f>C21</f>
        <v>1.63</v>
      </c>
      <c r="I21" s="71">
        <f>H21/H19</f>
        <v>0.16598778004073317</v>
      </c>
    </row>
    <row r="22" spans="1:9" s="71" customFormat="1" ht="15">
      <c r="A22" s="85" t="s">
        <v>20</v>
      </c>
      <c r="B22" s="34" t="s">
        <v>21</v>
      </c>
      <c r="C22" s="103">
        <v>1.92</v>
      </c>
      <c r="D22" s="87">
        <f>D19*I22</f>
        <v>144658.1650509165</v>
      </c>
      <c r="E22" s="87">
        <f>E19*I22</f>
        <v>107204.36529531569</v>
      </c>
      <c r="F22" s="87">
        <f t="shared" si="0"/>
        <v>144658.1650509165</v>
      </c>
      <c r="G22" s="88">
        <f t="shared" si="1"/>
        <v>-37453.799755600805</v>
      </c>
      <c r="H22" s="82">
        <f>C22</f>
        <v>1.92</v>
      </c>
      <c r="I22" s="71">
        <f>H22/H19</f>
        <v>0.1955193482688391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220754.38729124237</v>
      </c>
      <c r="E23" s="87">
        <f>E19*I23</f>
        <v>163598.32828920573</v>
      </c>
      <c r="F23" s="87">
        <f t="shared" si="0"/>
        <v>220754.38729124237</v>
      </c>
      <c r="G23" s="88">
        <f t="shared" si="1"/>
        <v>-57156.059002036636</v>
      </c>
      <c r="H23" s="82">
        <f>C23</f>
        <v>2.93</v>
      </c>
      <c r="I23" s="71">
        <f>H23/H19</f>
        <v>0.2983706720977597</v>
      </c>
    </row>
    <row r="24" spans="1:7" ht="15">
      <c r="A24" s="41" t="s">
        <v>25</v>
      </c>
      <c r="B24" s="146" t="s">
        <v>179</v>
      </c>
      <c r="C24" s="147">
        <v>3.72</v>
      </c>
      <c r="D24" s="81">
        <v>281822.44</v>
      </c>
      <c r="E24" s="81">
        <v>205120.59</v>
      </c>
      <c r="F24" s="81">
        <f t="shared" si="0"/>
        <v>281822.44</v>
      </c>
      <c r="G24" s="81">
        <f>E24-D24</f>
        <v>-76701.85</v>
      </c>
    </row>
    <row r="25" spans="1:7" ht="15">
      <c r="A25" s="41" t="s">
        <v>27</v>
      </c>
      <c r="B25" s="146" t="s">
        <v>28</v>
      </c>
      <c r="C25" s="147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7" ht="15">
      <c r="A26" s="41" t="s">
        <v>29</v>
      </c>
      <c r="B26" s="146" t="s">
        <v>170</v>
      </c>
      <c r="C26" s="147">
        <v>39.62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</row>
    <row r="27" spans="1:13" ht="15">
      <c r="A27" s="41" t="s">
        <v>31</v>
      </c>
      <c r="B27" s="146" t="s">
        <v>119</v>
      </c>
      <c r="C27" s="147">
        <v>1.99</v>
      </c>
      <c r="D27" s="81">
        <v>151091.78</v>
      </c>
      <c r="E27" s="81">
        <v>110228.64</v>
      </c>
      <c r="F27" s="91">
        <f>F42</f>
        <v>74479.6664</v>
      </c>
      <c r="G27" s="81">
        <f t="shared" si="1"/>
        <v>-40863.14</v>
      </c>
      <c r="M27" s="167"/>
    </row>
    <row r="28" spans="1:7" ht="15">
      <c r="A28" s="41" t="s">
        <v>33</v>
      </c>
      <c r="B28" s="140" t="s">
        <v>34</v>
      </c>
      <c r="C28" s="141">
        <v>0</v>
      </c>
      <c r="D28" s="81">
        <v>0</v>
      </c>
      <c r="E28" s="81">
        <v>316.6</v>
      </c>
      <c r="F28" s="91">
        <v>0</v>
      </c>
      <c r="G28" s="81">
        <f t="shared" si="1"/>
        <v>316.6</v>
      </c>
    </row>
    <row r="29" spans="1:7" ht="15">
      <c r="A29" s="41" t="s">
        <v>35</v>
      </c>
      <c r="B29" s="140" t="s">
        <v>36</v>
      </c>
      <c r="C29" s="141"/>
      <c r="D29" s="81">
        <f>SUM(D30:D33)</f>
        <v>3174154.3099999996</v>
      </c>
      <c r="E29" s="81">
        <f>SUM(E30:E33)</f>
        <v>3025315.23</v>
      </c>
      <c r="F29" s="81">
        <f>SUM(F30:F33)</f>
        <v>3174154.3099999996</v>
      </c>
      <c r="G29" s="81">
        <f>SUM(G30:G33)</f>
        <v>-148839.07999999984</v>
      </c>
    </row>
    <row r="30" spans="1:7" ht="15">
      <c r="A30" s="34" t="s">
        <v>37</v>
      </c>
      <c r="B30" s="34" t="s">
        <v>174</v>
      </c>
      <c r="C30" s="103" t="s">
        <v>323</v>
      </c>
      <c r="D30" s="88">
        <v>119920.14</v>
      </c>
      <c r="E30" s="88">
        <v>100082.03</v>
      </c>
      <c r="F30" s="88">
        <f>D30</f>
        <v>119920.14</v>
      </c>
      <c r="G30" s="88">
        <f>E30-D30</f>
        <v>-19838.11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556406.19</v>
      </c>
      <c r="E31" s="88">
        <v>541859.72</v>
      </c>
      <c r="F31" s="88">
        <f>D31</f>
        <v>556406.19</v>
      </c>
      <c r="G31" s="88">
        <f>E31-D31</f>
        <v>-14546.469999999972</v>
      </c>
    </row>
    <row r="32" spans="1:7" ht="15">
      <c r="A32" s="34" t="s">
        <v>42</v>
      </c>
      <c r="B32" s="34" t="s">
        <v>143</v>
      </c>
      <c r="C32" s="205" t="s">
        <v>382</v>
      </c>
      <c r="D32" s="88">
        <v>901743.59</v>
      </c>
      <c r="E32" s="88">
        <v>823399.26</v>
      </c>
      <c r="F32" s="88">
        <f>D32</f>
        <v>901743.59</v>
      </c>
      <c r="G32" s="88">
        <f>E32-D32</f>
        <v>-78344.32999999996</v>
      </c>
    </row>
    <row r="33" spans="1:7" ht="15.75" thickBot="1">
      <c r="A33" s="34" t="s">
        <v>41</v>
      </c>
      <c r="B33" s="34" t="s">
        <v>43</v>
      </c>
      <c r="C33" s="103" t="s">
        <v>301</v>
      </c>
      <c r="D33" s="88">
        <v>1596084.39</v>
      </c>
      <c r="E33" s="88">
        <v>1559974.22</v>
      </c>
      <c r="F33" s="88">
        <f>D33</f>
        <v>1596084.39</v>
      </c>
      <c r="G33" s="88">
        <f>E33-D33</f>
        <v>-36110.169999999925</v>
      </c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1650922.2800000007</v>
      </c>
      <c r="E34" s="70"/>
      <c r="F34" s="70"/>
      <c r="G34" s="70"/>
      <c r="H34" s="105"/>
      <c r="I34" s="105"/>
      <c r="J34" s="105"/>
    </row>
    <row r="35" spans="1:9" s="71" customFormat="1" ht="15.75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30130.77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-20143.779600000023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24.75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1" spans="1:9" ht="28.5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s="179" customFormat="1" ht="15">
      <c r="A42" s="113" t="s">
        <v>47</v>
      </c>
      <c r="B42" s="342" t="s">
        <v>114</v>
      </c>
      <c r="C42" s="345"/>
      <c r="D42" s="115"/>
      <c r="E42" s="115"/>
      <c r="F42" s="356">
        <f>SUM(F43:G51)</f>
        <v>74479.6664</v>
      </c>
      <c r="G42" s="351"/>
      <c r="H42" s="119"/>
      <c r="I42" s="119"/>
    </row>
    <row r="43" spans="1:9" s="179" customFormat="1" ht="26.25">
      <c r="A43" s="215" t="s">
        <v>16</v>
      </c>
      <c r="B43" s="331" t="s">
        <v>263</v>
      </c>
      <c r="C43" s="346"/>
      <c r="D43" s="216"/>
      <c r="E43" s="223" t="s">
        <v>317</v>
      </c>
      <c r="F43" s="381">
        <v>4200</v>
      </c>
      <c r="G43" s="382"/>
      <c r="H43" s="119"/>
      <c r="I43" s="119"/>
    </row>
    <row r="44" spans="1:9" s="179" customFormat="1" ht="15">
      <c r="A44" s="215" t="s">
        <v>18</v>
      </c>
      <c r="B44" s="331" t="s">
        <v>333</v>
      </c>
      <c r="C44" s="346"/>
      <c r="D44" s="216" t="s">
        <v>334</v>
      </c>
      <c r="E44" s="223">
        <v>2.5</v>
      </c>
      <c r="F44" s="381">
        <v>3900</v>
      </c>
      <c r="G44" s="382"/>
      <c r="H44" s="119"/>
      <c r="I44" s="119"/>
    </row>
    <row r="45" spans="1:9" s="179" customFormat="1" ht="15">
      <c r="A45" s="215" t="s">
        <v>20</v>
      </c>
      <c r="B45" s="331" t="s">
        <v>339</v>
      </c>
      <c r="C45" s="346"/>
      <c r="D45" s="216"/>
      <c r="E45" s="223" t="s">
        <v>336</v>
      </c>
      <c r="F45" s="381">
        <v>4138.88</v>
      </c>
      <c r="G45" s="382"/>
      <c r="H45" s="119"/>
      <c r="I45" s="119"/>
    </row>
    <row r="46" spans="1:9" s="179" customFormat="1" ht="15">
      <c r="A46" s="215" t="s">
        <v>22</v>
      </c>
      <c r="B46" s="331" t="s">
        <v>337</v>
      </c>
      <c r="C46" s="346"/>
      <c r="D46" s="216" t="s">
        <v>334</v>
      </c>
      <c r="E46" s="223">
        <v>10</v>
      </c>
      <c r="F46" s="381">
        <v>13000</v>
      </c>
      <c r="G46" s="382"/>
      <c r="H46" s="119"/>
      <c r="I46" s="119"/>
    </row>
    <row r="47" spans="1:9" s="179" customFormat="1" ht="26.25">
      <c r="A47" s="215" t="s">
        <v>24</v>
      </c>
      <c r="B47" s="331" t="s">
        <v>180</v>
      </c>
      <c r="C47" s="346"/>
      <c r="D47" s="216"/>
      <c r="E47" s="223" t="s">
        <v>317</v>
      </c>
      <c r="F47" s="381">
        <v>1083.5</v>
      </c>
      <c r="G47" s="382"/>
      <c r="H47" s="119"/>
      <c r="I47" s="119"/>
    </row>
    <row r="48" spans="1:9" s="179" customFormat="1" ht="15">
      <c r="A48" s="215" t="s">
        <v>106</v>
      </c>
      <c r="B48" s="331" t="s">
        <v>340</v>
      </c>
      <c r="C48" s="346"/>
      <c r="D48" s="216" t="s">
        <v>261</v>
      </c>
      <c r="E48" s="223">
        <v>0.07</v>
      </c>
      <c r="F48" s="381">
        <v>3255</v>
      </c>
      <c r="G48" s="382"/>
      <c r="H48" s="119"/>
      <c r="I48" s="119"/>
    </row>
    <row r="49" spans="1:9" s="179" customFormat="1" ht="15">
      <c r="A49" s="215" t="s">
        <v>107</v>
      </c>
      <c r="B49" s="331" t="s">
        <v>651</v>
      </c>
      <c r="C49" s="346"/>
      <c r="D49" s="216" t="s">
        <v>173</v>
      </c>
      <c r="E49" s="223">
        <v>1</v>
      </c>
      <c r="F49" s="381">
        <v>21800</v>
      </c>
      <c r="G49" s="382"/>
      <c r="H49" s="119"/>
      <c r="I49" s="119"/>
    </row>
    <row r="50" spans="1:9" s="179" customFormat="1" ht="15">
      <c r="A50" s="145" t="s">
        <v>120</v>
      </c>
      <c r="B50" s="184" t="s">
        <v>697</v>
      </c>
      <c r="C50" s="185"/>
      <c r="D50" s="216"/>
      <c r="E50" s="223"/>
      <c r="F50" s="381">
        <v>22000</v>
      </c>
      <c r="G50" s="382"/>
      <c r="H50" s="119"/>
      <c r="I50" s="119"/>
    </row>
    <row r="51" spans="1:7" ht="15">
      <c r="A51" s="145" t="s">
        <v>121</v>
      </c>
      <c r="B51" s="155" t="s">
        <v>207</v>
      </c>
      <c r="C51" s="156"/>
      <c r="D51" s="123"/>
      <c r="E51" s="123"/>
      <c r="F51" s="380">
        <f>E27*1%</f>
        <v>1102.2864</v>
      </c>
      <c r="G51" s="380"/>
    </row>
    <row r="52" s="71" customFormat="1" ht="15"/>
    <row r="53" spans="1:6" s="71" customFormat="1" ht="13.5" customHeight="1">
      <c r="A53" s="71" t="s">
        <v>55</v>
      </c>
      <c r="C53" s="71" t="s">
        <v>49</v>
      </c>
      <c r="F53" s="71" t="s">
        <v>93</v>
      </c>
    </row>
    <row r="54" s="71" customFormat="1" ht="13.5" customHeight="1">
      <c r="F54" s="132" t="s">
        <v>296</v>
      </c>
    </row>
    <row r="55" s="71" customFormat="1" ht="11.25" customHeight="1">
      <c r="A55" s="71" t="s">
        <v>50</v>
      </c>
    </row>
    <row r="56" spans="3:7" s="71" customFormat="1" ht="15">
      <c r="C56" s="134" t="s">
        <v>51</v>
      </c>
      <c r="E56" s="134"/>
      <c r="F56" s="134"/>
      <c r="G56" s="134"/>
    </row>
    <row r="57" s="71" customFormat="1" ht="15"/>
  </sheetData>
  <sheetProtection/>
  <mergeCells count="30">
    <mergeCell ref="F50:G50"/>
    <mergeCell ref="B48:C48"/>
    <mergeCell ref="F48:G48"/>
    <mergeCell ref="B49:C49"/>
    <mergeCell ref="F49:G49"/>
    <mergeCell ref="B45:C45"/>
    <mergeCell ref="F45:G45"/>
    <mergeCell ref="B46:C46"/>
    <mergeCell ref="F46:G46"/>
    <mergeCell ref="B47:C47"/>
    <mergeCell ref="F47:G47"/>
    <mergeCell ref="F43:G43"/>
    <mergeCell ref="A39:I39"/>
    <mergeCell ref="F42:G42"/>
    <mergeCell ref="A13:C13"/>
    <mergeCell ref="A11:I11"/>
    <mergeCell ref="A12:I12"/>
    <mergeCell ref="B41:C41"/>
    <mergeCell ref="F41:G41"/>
    <mergeCell ref="B42:C42"/>
    <mergeCell ref="F44:G44"/>
    <mergeCell ref="B43:C43"/>
    <mergeCell ref="B44:C44"/>
    <mergeCell ref="F51:G51"/>
    <mergeCell ref="A1:I1"/>
    <mergeCell ref="A2:I2"/>
    <mergeCell ref="A5:I5"/>
    <mergeCell ref="A10:I10"/>
    <mergeCell ref="A3:K3"/>
    <mergeCell ref="A34:C34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P52"/>
  <sheetViews>
    <sheetView zoomScalePageLayoutView="0" workbookViewId="0" topLeftCell="A6">
      <selection activeCell="A17" sqref="A17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3.7109375" style="35" customWidth="1"/>
    <col min="5" max="5" width="12.7109375" style="35" customWidth="1"/>
    <col min="6" max="6" width="11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4.2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5.2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7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4.5" customHeight="1"/>
    <row r="7" spans="1:6" s="71" customFormat="1" ht="16.5" customHeight="1">
      <c r="A7" s="71" t="s">
        <v>2</v>
      </c>
      <c r="F7" s="132" t="s">
        <v>87</v>
      </c>
    </row>
    <row r="8" spans="1:6" s="71" customFormat="1" ht="15">
      <c r="A8" s="71" t="s">
        <v>3</v>
      </c>
      <c r="F8" s="132" t="s">
        <v>349</v>
      </c>
    </row>
    <row r="9" s="71" customFormat="1" ht="4.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57219.74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'[1]Чичерина 16'!$G$36</f>
        <v>-7051.42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'[1]Чичерина 16'!$G$37</f>
        <v>-42592.90870000001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16" s="71" customFormat="1" ht="16.5" customHeight="1">
      <c r="A19" s="79" t="s">
        <v>14</v>
      </c>
      <c r="B19" s="41" t="s">
        <v>15</v>
      </c>
      <c r="C19" s="141">
        <f>C20+C21+C22+C23</f>
        <v>9.53</v>
      </c>
      <c r="D19" s="80">
        <v>178293.76</v>
      </c>
      <c r="E19" s="80">
        <v>172936.65</v>
      </c>
      <c r="F19" s="80">
        <f aca="true" t="shared" si="0" ref="F19:F26">D19</f>
        <v>178293.76</v>
      </c>
      <c r="G19" s="81">
        <f aca="true" t="shared" si="1" ref="G19:G28">E19-D19</f>
        <v>-5357.110000000015</v>
      </c>
      <c r="H19" s="152">
        <f>C19</f>
        <v>9.53</v>
      </c>
      <c r="P19" s="224"/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62487.00507869884</v>
      </c>
      <c r="E20" s="87">
        <f>E19*I20</f>
        <v>60609.486988457495</v>
      </c>
      <c r="F20" s="87">
        <f t="shared" si="0"/>
        <v>62487.00507869884</v>
      </c>
      <c r="G20" s="88">
        <f t="shared" si="1"/>
        <v>-1877.5180902413485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30495.155173137464</v>
      </c>
      <c r="E21" s="87">
        <f>E19*I21</f>
        <v>29578.881374606506</v>
      </c>
      <c r="F21" s="87">
        <f t="shared" si="0"/>
        <v>30495.155173137464</v>
      </c>
      <c r="G21" s="88">
        <f t="shared" si="1"/>
        <v>-916.2737985309577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30495.155173137464</v>
      </c>
      <c r="E22" s="87">
        <f>E19*I22</f>
        <v>29578.881374606506</v>
      </c>
      <c r="F22" s="87">
        <f t="shared" si="0"/>
        <v>30495.155173137464</v>
      </c>
      <c r="G22" s="88">
        <f t="shared" si="1"/>
        <v>-916.2737985309577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54816.444575026246</v>
      </c>
      <c r="E23" s="87">
        <f>E19*I23</f>
        <v>53169.400262329495</v>
      </c>
      <c r="F23" s="87">
        <f t="shared" si="0"/>
        <v>54816.444575026246</v>
      </c>
      <c r="G23" s="88">
        <f t="shared" si="1"/>
        <v>-1647.0443126967511</v>
      </c>
      <c r="H23" s="152">
        <f>C23</f>
        <v>2.93</v>
      </c>
      <c r="I23" s="71">
        <f>H23/H19</f>
        <v>0.30745015739769155</v>
      </c>
    </row>
    <row r="24" spans="1:7" ht="26.25">
      <c r="A24" s="41" t="s">
        <v>25</v>
      </c>
      <c r="B24" s="204" t="s">
        <v>350</v>
      </c>
      <c r="C24" s="57" t="s">
        <v>351</v>
      </c>
      <c r="D24" s="81">
        <v>36720</v>
      </c>
      <c r="E24" s="81">
        <v>34270.62</v>
      </c>
      <c r="F24" s="81">
        <f t="shared" si="0"/>
        <v>36720</v>
      </c>
      <c r="G24" s="81">
        <f t="shared" si="1"/>
        <v>-2449.3799999999974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7" ht="15">
      <c r="A26" s="41" t="s">
        <v>29</v>
      </c>
      <c r="B26" s="146" t="s">
        <v>170</v>
      </c>
      <c r="C26" s="147">
        <v>0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</row>
    <row r="27" spans="1:7" ht="15">
      <c r="A27" s="41" t="s">
        <v>31</v>
      </c>
      <c r="B27" s="146" t="s">
        <v>119</v>
      </c>
      <c r="C27" s="101">
        <v>1.8</v>
      </c>
      <c r="D27" s="81">
        <v>33602.76</v>
      </c>
      <c r="E27" s="81">
        <v>32622.48</v>
      </c>
      <c r="F27" s="91">
        <f>F42</f>
        <v>12194.8148</v>
      </c>
      <c r="G27" s="81">
        <f t="shared" si="1"/>
        <v>-980.2800000000025</v>
      </c>
    </row>
    <row r="28" spans="1:7" ht="15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91">
        <v>0</v>
      </c>
      <c r="G28" s="81">
        <f t="shared" si="1"/>
        <v>0</v>
      </c>
    </row>
    <row r="29" spans="1:7" ht="15">
      <c r="A29" s="41" t="s">
        <v>35</v>
      </c>
      <c r="B29" s="140" t="s">
        <v>36</v>
      </c>
      <c r="C29" s="101"/>
      <c r="D29" s="81">
        <f>SUM(D30:D33)</f>
        <v>735042.29</v>
      </c>
      <c r="E29" s="81">
        <f>SUM(E30:E33)</f>
        <v>709024.97</v>
      </c>
      <c r="F29" s="81">
        <f>SUM(F30:F33)</f>
        <v>735042.29</v>
      </c>
      <c r="G29" s="81">
        <f>SUM(G30:G33)</f>
        <v>-26017.31999999998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4202.72</v>
      </c>
      <c r="E30" s="88">
        <v>4077.88</v>
      </c>
      <c r="F30" s="88">
        <f>D30</f>
        <v>4202.72</v>
      </c>
      <c r="G30" s="88">
        <f>E30-D30</f>
        <v>-124.84000000000015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202219.18</v>
      </c>
      <c r="E31" s="88">
        <v>190519.82</v>
      </c>
      <c r="F31" s="88">
        <f>D31</f>
        <v>202219.18</v>
      </c>
      <c r="G31" s="88">
        <f>E31-D31</f>
        <v>-11699.359999999986</v>
      </c>
    </row>
    <row r="32" spans="1:7" ht="15">
      <c r="A32" s="34" t="s">
        <v>42</v>
      </c>
      <c r="B32" s="34" t="s">
        <v>40</v>
      </c>
      <c r="C32" s="205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ht="15.75" thickBot="1">
      <c r="A33" s="34" t="s">
        <v>41</v>
      </c>
      <c r="B33" s="34" t="s">
        <v>43</v>
      </c>
      <c r="C33" s="103" t="s">
        <v>301</v>
      </c>
      <c r="D33" s="88">
        <v>528620.39</v>
      </c>
      <c r="E33" s="88">
        <v>514427.27</v>
      </c>
      <c r="F33" s="88">
        <f>D33</f>
        <v>528620.39</v>
      </c>
      <c r="G33" s="88">
        <f>E33-D33</f>
        <v>-14193.119999999995</v>
      </c>
      <c r="H33" s="105"/>
      <c r="I33" s="105"/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92023.83000000007</v>
      </c>
      <c r="E34" s="70"/>
      <c r="F34" s="70"/>
      <c r="G34" s="70"/>
      <c r="H34" s="66"/>
      <c r="I34" s="66"/>
      <c r="J34" s="105"/>
    </row>
    <row r="35" spans="1:9" s="71" customFormat="1" ht="8.25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-7051.42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-22165.243500000008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31.5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1" spans="1:9" ht="28.5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s="179" customFormat="1" ht="28.5" customHeight="1">
      <c r="A42" s="113" t="s">
        <v>47</v>
      </c>
      <c r="B42" s="342" t="s">
        <v>114</v>
      </c>
      <c r="C42" s="345"/>
      <c r="D42" s="115"/>
      <c r="E42" s="115"/>
      <c r="F42" s="356">
        <f>SUM(F43:G46)</f>
        <v>12194.8148</v>
      </c>
      <c r="G42" s="351"/>
      <c r="H42" s="119"/>
      <c r="I42" s="119"/>
    </row>
    <row r="43" spans="1:9" s="179" customFormat="1" ht="15">
      <c r="A43" s="145" t="s">
        <v>16</v>
      </c>
      <c r="B43" s="155" t="s">
        <v>208</v>
      </c>
      <c r="C43" s="156"/>
      <c r="D43" s="123" t="s">
        <v>352</v>
      </c>
      <c r="E43" s="225">
        <v>0.05</v>
      </c>
      <c r="F43" s="380">
        <v>1133.59</v>
      </c>
      <c r="G43" s="380"/>
      <c r="H43" s="119"/>
      <c r="I43" s="119"/>
    </row>
    <row r="44" spans="1:9" s="179" customFormat="1" ht="15">
      <c r="A44" s="145" t="s">
        <v>18</v>
      </c>
      <c r="B44" s="155" t="s">
        <v>628</v>
      </c>
      <c r="C44" s="156"/>
      <c r="D44" s="123" t="s">
        <v>352</v>
      </c>
      <c r="E44" s="225">
        <v>0.169</v>
      </c>
      <c r="F44" s="380">
        <v>5135</v>
      </c>
      <c r="G44" s="380"/>
      <c r="H44" s="119"/>
      <c r="I44" s="119"/>
    </row>
    <row r="45" spans="1:9" s="179" customFormat="1" ht="15">
      <c r="A45" s="145" t="s">
        <v>20</v>
      </c>
      <c r="B45" s="325" t="s">
        <v>663</v>
      </c>
      <c r="C45" s="350"/>
      <c r="D45" s="123"/>
      <c r="E45" s="159" t="s">
        <v>286</v>
      </c>
      <c r="F45" s="344">
        <v>5600</v>
      </c>
      <c r="G45" s="344"/>
      <c r="H45" s="119"/>
      <c r="I45" s="119"/>
    </row>
    <row r="46" spans="1:9" s="119" customFormat="1" ht="13.5" customHeight="1">
      <c r="A46" s="145" t="s">
        <v>22</v>
      </c>
      <c r="B46" s="155" t="s">
        <v>207</v>
      </c>
      <c r="C46" s="156"/>
      <c r="D46" s="123"/>
      <c r="E46" s="123"/>
      <c r="F46" s="380">
        <f>E27*1%</f>
        <v>326.2248</v>
      </c>
      <c r="G46" s="380"/>
      <c r="H46" s="35"/>
      <c r="I46" s="35"/>
    </row>
    <row r="47" spans="1:9" ht="13.5" customHeight="1">
      <c r="A47" s="71"/>
      <c r="B47" s="71"/>
      <c r="C47" s="71"/>
      <c r="D47" s="71"/>
      <c r="E47" s="71"/>
      <c r="F47" s="71"/>
      <c r="G47" s="71"/>
      <c r="H47" s="71"/>
      <c r="I47" s="71"/>
    </row>
    <row r="48" spans="1:9" ht="13.5" customHeight="1">
      <c r="A48" s="71" t="s">
        <v>55</v>
      </c>
      <c r="B48" s="71"/>
      <c r="C48" s="71" t="s">
        <v>49</v>
      </c>
      <c r="D48" s="71"/>
      <c r="E48" s="71"/>
      <c r="F48" s="71" t="s">
        <v>93</v>
      </c>
      <c r="G48" s="71"/>
      <c r="H48" s="71"/>
      <c r="I48" s="71"/>
    </row>
    <row r="49" spans="1:9" ht="13.5" customHeight="1">
      <c r="A49" s="71"/>
      <c r="B49" s="71"/>
      <c r="C49" s="71"/>
      <c r="D49" s="71"/>
      <c r="E49" s="71"/>
      <c r="F49" s="132" t="s">
        <v>296</v>
      </c>
      <c r="G49" s="71"/>
      <c r="H49" s="71"/>
      <c r="I49" s="71"/>
    </row>
    <row r="50" spans="1:9" ht="13.5" customHeight="1">
      <c r="A50" s="71" t="s">
        <v>50</v>
      </c>
      <c r="B50" s="71"/>
      <c r="C50" s="71"/>
      <c r="D50" s="71"/>
      <c r="E50" s="71"/>
      <c r="F50" s="71"/>
      <c r="G50" s="71"/>
      <c r="H50" s="71"/>
      <c r="I50" s="71"/>
    </row>
    <row r="51" spans="1:9" ht="13.5" customHeight="1">
      <c r="A51" s="71"/>
      <c r="B51" s="71"/>
      <c r="C51" s="134" t="s">
        <v>51</v>
      </c>
      <c r="D51" s="71"/>
      <c r="E51" s="134"/>
      <c r="F51" s="134"/>
      <c r="G51" s="134"/>
      <c r="H51" s="71"/>
      <c r="I51" s="71"/>
    </row>
    <row r="52" spans="2:5" ht="6.75" customHeight="1">
      <c r="B52" s="162"/>
      <c r="C52" s="162"/>
      <c r="D52" s="162"/>
      <c r="E52" s="162"/>
    </row>
    <row r="53" s="71" customFormat="1" ht="15"/>
  </sheetData>
  <sheetProtection/>
  <mergeCells count="19">
    <mergeCell ref="F45:G45"/>
    <mergeCell ref="F43:G43"/>
    <mergeCell ref="A11:I11"/>
    <mergeCell ref="A1:I1"/>
    <mergeCell ref="A2:I2"/>
    <mergeCell ref="A5:I5"/>
    <mergeCell ref="A10:I10"/>
    <mergeCell ref="A3:K3"/>
    <mergeCell ref="F44:G44"/>
    <mergeCell ref="F46:G46"/>
    <mergeCell ref="A12:I12"/>
    <mergeCell ref="F42:G42"/>
    <mergeCell ref="A13:C13"/>
    <mergeCell ref="A34:C34"/>
    <mergeCell ref="A39:I39"/>
    <mergeCell ref="B41:C41"/>
    <mergeCell ref="F41:G41"/>
    <mergeCell ref="B42:C42"/>
    <mergeCell ref="B45:C45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4.7109375" style="35" customWidth="1"/>
    <col min="2" max="2" width="48.421875" style="35" customWidth="1"/>
    <col min="3" max="3" width="13.140625" style="35" customWidth="1"/>
    <col min="4" max="4" width="13.7109375" style="35" customWidth="1"/>
    <col min="5" max="5" width="12.7109375" style="35" customWidth="1"/>
    <col min="6" max="6" width="11.8515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1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4.2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5.2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7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4.5" customHeight="1"/>
    <row r="7" spans="1:6" s="71" customFormat="1" ht="16.5" customHeight="1">
      <c r="A7" s="71" t="s">
        <v>2</v>
      </c>
      <c r="F7" s="132" t="s">
        <v>353</v>
      </c>
    </row>
    <row r="8" spans="1:6" s="71" customFormat="1" ht="15">
      <c r="A8" s="71" t="s">
        <v>3</v>
      </c>
      <c r="F8" s="132" t="s">
        <v>354</v>
      </c>
    </row>
    <row r="9" s="71" customFormat="1" ht="4.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112098.94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514</v>
      </c>
      <c r="B15" s="68"/>
      <c r="C15" s="68"/>
      <c r="D15" s="73"/>
      <c r="E15" s="74"/>
      <c r="F15" s="74"/>
      <c r="G15" s="151">
        <f>'[1]Чичерина 19'!$G$35</f>
        <v>47829.0581</v>
      </c>
      <c r="H15" s="66"/>
      <c r="I15" s="66"/>
    </row>
    <row r="16" s="71" customFormat="1" ht="6.75" customHeight="1"/>
    <row r="17" spans="1:7" s="78" customFormat="1" ht="38.25">
      <c r="A17" s="76" t="s">
        <v>11</v>
      </c>
      <c r="B17" s="76" t="s">
        <v>12</v>
      </c>
      <c r="C17" s="76" t="s">
        <v>94</v>
      </c>
      <c r="D17" s="76" t="s">
        <v>283</v>
      </c>
      <c r="E17" s="76" t="s">
        <v>284</v>
      </c>
      <c r="F17" s="77" t="s">
        <v>298</v>
      </c>
      <c r="G17" s="76" t="s">
        <v>299</v>
      </c>
    </row>
    <row r="18" spans="1:16" s="71" customFormat="1" ht="16.5" customHeight="1">
      <c r="A18" s="79" t="s">
        <v>14</v>
      </c>
      <c r="B18" s="41" t="s">
        <v>15</v>
      </c>
      <c r="C18" s="141">
        <f>C19+C20+C21+C22</f>
        <v>9.53</v>
      </c>
      <c r="D18" s="80">
        <v>286962.47</v>
      </c>
      <c r="E18" s="80">
        <v>154686.64</v>
      </c>
      <c r="F18" s="80">
        <f aca="true" t="shared" si="0" ref="F18:F25">D18</f>
        <v>286962.47</v>
      </c>
      <c r="G18" s="81">
        <f aca="true" t="shared" si="1" ref="G18:G27">E18-D18</f>
        <v>-132275.82999999996</v>
      </c>
      <c r="H18" s="152">
        <f>C18</f>
        <v>9.53</v>
      </c>
      <c r="P18" s="224"/>
    </row>
    <row r="19" spans="1:9" s="71" customFormat="1" ht="15">
      <c r="A19" s="85" t="s">
        <v>16</v>
      </c>
      <c r="B19" s="34" t="s">
        <v>17</v>
      </c>
      <c r="C19" s="103">
        <v>3.34</v>
      </c>
      <c r="D19" s="87">
        <f>D18*I19</f>
        <v>100572.36619097585</v>
      </c>
      <c r="E19" s="87">
        <f>E18*I19</f>
        <v>54213.36596012592</v>
      </c>
      <c r="F19" s="87">
        <f t="shared" si="0"/>
        <v>100572.36619097585</v>
      </c>
      <c r="G19" s="88">
        <f t="shared" si="1"/>
        <v>-46359.00023084993</v>
      </c>
      <c r="H19" s="152">
        <f>C19</f>
        <v>3.34</v>
      </c>
      <c r="I19" s="71">
        <f>H19/H18</f>
        <v>0.35047219307450156</v>
      </c>
    </row>
    <row r="20" spans="1:9" s="71" customFormat="1" ht="15">
      <c r="A20" s="85" t="s">
        <v>18</v>
      </c>
      <c r="B20" s="34" t="s">
        <v>19</v>
      </c>
      <c r="C20" s="103">
        <v>1.63</v>
      </c>
      <c r="D20" s="87">
        <f>D18*I20</f>
        <v>49081.723620146906</v>
      </c>
      <c r="E20" s="87">
        <f>E18*I20</f>
        <v>26457.421112277025</v>
      </c>
      <c r="F20" s="87">
        <f t="shared" si="0"/>
        <v>49081.723620146906</v>
      </c>
      <c r="G20" s="88">
        <f t="shared" si="1"/>
        <v>-22624.30250786988</v>
      </c>
      <c r="H20" s="152">
        <f>C20</f>
        <v>1.63</v>
      </c>
      <c r="I20" s="71">
        <f>H20/H18</f>
        <v>0.17103882476390347</v>
      </c>
    </row>
    <row r="21" spans="1:9" s="71" customFormat="1" ht="15">
      <c r="A21" s="85" t="s">
        <v>20</v>
      </c>
      <c r="B21" s="34" t="s">
        <v>21</v>
      </c>
      <c r="C21" s="103">
        <v>1.63</v>
      </c>
      <c r="D21" s="87">
        <f>D18*I21</f>
        <v>49081.723620146906</v>
      </c>
      <c r="E21" s="87">
        <f>E18*I21</f>
        <v>26457.421112277025</v>
      </c>
      <c r="F21" s="87">
        <f t="shared" si="0"/>
        <v>49081.723620146906</v>
      </c>
      <c r="G21" s="88">
        <f t="shared" si="1"/>
        <v>-22624.30250786988</v>
      </c>
      <c r="H21" s="152">
        <f>C21</f>
        <v>1.63</v>
      </c>
      <c r="I21" s="71">
        <f>H21/H18</f>
        <v>0.17103882476390347</v>
      </c>
    </row>
    <row r="22" spans="1:9" s="71" customFormat="1" ht="15">
      <c r="A22" s="85" t="s">
        <v>22</v>
      </c>
      <c r="B22" s="34" t="s">
        <v>23</v>
      </c>
      <c r="C22" s="103">
        <v>2.93</v>
      </c>
      <c r="D22" s="87">
        <f>D18*I22</f>
        <v>88226.65656873034</v>
      </c>
      <c r="E22" s="87">
        <f>E18*I22</f>
        <v>47558.43181532005</v>
      </c>
      <c r="F22" s="87">
        <f t="shared" si="0"/>
        <v>88226.65656873034</v>
      </c>
      <c r="G22" s="88">
        <f t="shared" si="1"/>
        <v>-40668.224753410286</v>
      </c>
      <c r="H22" s="152">
        <f>C22</f>
        <v>2.93</v>
      </c>
      <c r="I22" s="71">
        <f>H22/H18</f>
        <v>0.30745015739769155</v>
      </c>
    </row>
    <row r="23" spans="1:7" ht="15">
      <c r="A23" s="41" t="s">
        <v>25</v>
      </c>
      <c r="B23" s="146" t="s">
        <v>141</v>
      </c>
      <c r="C23" s="46">
        <v>0</v>
      </c>
      <c r="D23" s="81">
        <v>0</v>
      </c>
      <c r="E23" s="81">
        <v>0</v>
      </c>
      <c r="F23" s="81">
        <f t="shared" si="0"/>
        <v>0</v>
      </c>
      <c r="G23" s="81">
        <f t="shared" si="1"/>
        <v>0</v>
      </c>
    </row>
    <row r="24" spans="1:7" ht="15">
      <c r="A24" s="41" t="s">
        <v>27</v>
      </c>
      <c r="B24" s="146" t="s">
        <v>28</v>
      </c>
      <c r="C24" s="101">
        <v>0</v>
      </c>
      <c r="D24" s="81">
        <v>0</v>
      </c>
      <c r="E24" s="81">
        <v>0</v>
      </c>
      <c r="F24" s="81">
        <f t="shared" si="0"/>
        <v>0</v>
      </c>
      <c r="G24" s="81">
        <f t="shared" si="1"/>
        <v>0</v>
      </c>
    </row>
    <row r="25" spans="1:7" ht="15">
      <c r="A25" s="41" t="s">
        <v>29</v>
      </c>
      <c r="B25" s="146" t="s">
        <v>170</v>
      </c>
      <c r="C25" s="147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7" ht="15">
      <c r="A26" s="41" t="s">
        <v>31</v>
      </c>
      <c r="B26" s="146" t="s">
        <v>119</v>
      </c>
      <c r="C26" s="101">
        <v>5</v>
      </c>
      <c r="D26" s="81">
        <v>151860</v>
      </c>
      <c r="E26" s="81">
        <v>81379.79</v>
      </c>
      <c r="F26" s="91">
        <f>F40</f>
        <v>17354.167900000004</v>
      </c>
      <c r="G26" s="81">
        <f t="shared" si="1"/>
        <v>-70480.21</v>
      </c>
    </row>
    <row r="27" spans="1:7" ht="15">
      <c r="A27" s="41" t="s">
        <v>33</v>
      </c>
      <c r="B27" s="140" t="s">
        <v>34</v>
      </c>
      <c r="C27" s="46">
        <v>0</v>
      </c>
      <c r="D27" s="81">
        <v>0</v>
      </c>
      <c r="E27" s="81">
        <v>0</v>
      </c>
      <c r="F27" s="91">
        <v>0</v>
      </c>
      <c r="G27" s="81">
        <f t="shared" si="1"/>
        <v>0</v>
      </c>
    </row>
    <row r="28" spans="1:7" ht="15">
      <c r="A28" s="41" t="s">
        <v>35</v>
      </c>
      <c r="B28" s="140" t="s">
        <v>36</v>
      </c>
      <c r="C28" s="101"/>
      <c r="D28" s="81">
        <f>SUM(D29:D32)</f>
        <v>285201.42000000004</v>
      </c>
      <c r="E28" s="81">
        <f>SUM(E29:E32)</f>
        <v>164466.76</v>
      </c>
      <c r="F28" s="81">
        <f>SUM(F29:F32)</f>
        <v>285201.42000000004</v>
      </c>
      <c r="G28" s="81">
        <f>SUM(G29:G32)</f>
        <v>-120734.66000000002</v>
      </c>
    </row>
    <row r="29" spans="1:7" ht="15">
      <c r="A29" s="34" t="s">
        <v>37</v>
      </c>
      <c r="B29" s="34" t="s">
        <v>174</v>
      </c>
      <c r="C29" s="103" t="s">
        <v>300</v>
      </c>
      <c r="D29" s="88">
        <v>21715.15</v>
      </c>
      <c r="E29" s="88">
        <v>11854.79</v>
      </c>
      <c r="F29" s="88">
        <f>D29</f>
        <v>21715.15</v>
      </c>
      <c r="G29" s="88">
        <f>E29-D29</f>
        <v>-9860.36</v>
      </c>
    </row>
    <row r="30" spans="1:7" ht="15">
      <c r="A30" s="34" t="s">
        <v>39</v>
      </c>
      <c r="B30" s="34" t="s">
        <v>142</v>
      </c>
      <c r="C30" s="103" t="s">
        <v>315</v>
      </c>
      <c r="D30" s="88">
        <v>263486.27</v>
      </c>
      <c r="E30" s="88">
        <v>152611.97</v>
      </c>
      <c r="F30" s="88">
        <f>D30</f>
        <v>263486.27</v>
      </c>
      <c r="G30" s="88">
        <f>E30-D30</f>
        <v>-110874.30000000002</v>
      </c>
    </row>
    <row r="31" spans="1:7" ht="15">
      <c r="A31" s="34" t="s">
        <v>42</v>
      </c>
      <c r="B31" s="34" t="s">
        <v>40</v>
      </c>
      <c r="C31" s="205"/>
      <c r="D31" s="88">
        <v>0</v>
      </c>
      <c r="E31" s="88">
        <v>0</v>
      </c>
      <c r="F31" s="88">
        <f>D31</f>
        <v>0</v>
      </c>
      <c r="G31" s="88">
        <f>E31-D31</f>
        <v>0</v>
      </c>
    </row>
    <row r="32" spans="1:9" ht="15.75" thickBot="1">
      <c r="A32" s="34" t="s">
        <v>41</v>
      </c>
      <c r="B32" s="34" t="s">
        <v>43</v>
      </c>
      <c r="C32" s="103"/>
      <c r="D32" s="226">
        <v>0</v>
      </c>
      <c r="E32" s="226">
        <v>0</v>
      </c>
      <c r="F32" s="88">
        <f>D32</f>
        <v>0</v>
      </c>
      <c r="G32" s="88">
        <f>E32-D32</f>
        <v>0</v>
      </c>
      <c r="H32" s="105"/>
      <c r="I32" s="105"/>
    </row>
    <row r="33" spans="1:10" s="106" customFormat="1" ht="14.25" thickBot="1">
      <c r="A33" s="319" t="s">
        <v>420</v>
      </c>
      <c r="B33" s="320"/>
      <c r="C33" s="320"/>
      <c r="D33" s="69">
        <f>D13+D18+D23+D24+D25+D26+D27+D28-E18-E23-E24-E25-E26-E27-E28</f>
        <v>435589.6399999999</v>
      </c>
      <c r="E33" s="70"/>
      <c r="F33" s="70"/>
      <c r="G33" s="70"/>
      <c r="H33" s="66"/>
      <c r="I33" s="66"/>
      <c r="J33" s="105"/>
    </row>
    <row r="34" spans="1:9" s="71" customFormat="1" ht="8.25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G15+E26-F26</f>
        <v>111854.6802</v>
      </c>
      <c r="H35" s="66"/>
      <c r="I35" s="66"/>
    </row>
    <row r="36" spans="1:9" s="71" customFormat="1" ht="15">
      <c r="A36" s="72"/>
      <c r="B36" s="72"/>
      <c r="C36" s="72"/>
      <c r="D36" s="40"/>
      <c r="E36" s="70"/>
      <c r="F36" s="70"/>
      <c r="G36" s="40"/>
      <c r="H36" s="66"/>
      <c r="I36" s="66"/>
    </row>
    <row r="37" spans="1:9" s="71" customFormat="1" ht="31.5" customHeight="1">
      <c r="A37" s="372" t="s">
        <v>44</v>
      </c>
      <c r="B37" s="372"/>
      <c r="C37" s="372"/>
      <c r="D37" s="372"/>
      <c r="E37" s="372"/>
      <c r="F37" s="372"/>
      <c r="G37" s="372"/>
      <c r="H37" s="372"/>
      <c r="I37" s="372"/>
    </row>
    <row r="39" spans="1:9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179"/>
      <c r="I39" s="179"/>
    </row>
    <row r="40" spans="1:9" s="179" customFormat="1" ht="28.5" customHeight="1">
      <c r="A40" s="113" t="s">
        <v>47</v>
      </c>
      <c r="B40" s="342" t="s">
        <v>114</v>
      </c>
      <c r="C40" s="345"/>
      <c r="D40" s="115"/>
      <c r="E40" s="115"/>
      <c r="F40" s="356">
        <f>SUM(F41:L44)</f>
        <v>17354.167900000004</v>
      </c>
      <c r="G40" s="351"/>
      <c r="H40" s="119"/>
      <c r="I40" s="119"/>
    </row>
    <row r="41" spans="1:9" s="179" customFormat="1" ht="15">
      <c r="A41" s="145" t="s">
        <v>16</v>
      </c>
      <c r="B41" s="155" t="s">
        <v>178</v>
      </c>
      <c r="C41" s="156"/>
      <c r="D41" s="123" t="s">
        <v>352</v>
      </c>
      <c r="E41" s="126">
        <v>0.025</v>
      </c>
      <c r="F41" s="380">
        <v>834.37</v>
      </c>
      <c r="G41" s="380"/>
      <c r="H41" s="119"/>
      <c r="I41" s="119"/>
    </row>
    <row r="42" spans="1:9" s="179" customFormat="1" ht="15">
      <c r="A42" s="145" t="s">
        <v>18</v>
      </c>
      <c r="B42" s="155" t="s">
        <v>628</v>
      </c>
      <c r="C42" s="156"/>
      <c r="D42" s="123" t="s">
        <v>352</v>
      </c>
      <c r="E42" s="126">
        <v>0.27</v>
      </c>
      <c r="F42" s="380">
        <v>8146</v>
      </c>
      <c r="G42" s="380"/>
      <c r="H42" s="119"/>
      <c r="I42" s="119"/>
    </row>
    <row r="43" spans="1:9" s="179" customFormat="1" ht="15">
      <c r="A43" s="145" t="s">
        <v>20</v>
      </c>
      <c r="B43" s="325" t="s">
        <v>663</v>
      </c>
      <c r="C43" s="350"/>
      <c r="D43" s="123"/>
      <c r="E43" s="159" t="s">
        <v>286</v>
      </c>
      <c r="F43" s="344">
        <v>7560</v>
      </c>
      <c r="G43" s="344"/>
      <c r="H43" s="119"/>
      <c r="I43" s="119"/>
    </row>
    <row r="44" spans="1:9" s="119" customFormat="1" ht="13.5" customHeight="1">
      <c r="A44" s="145" t="s">
        <v>22</v>
      </c>
      <c r="B44" s="155" t="s">
        <v>207</v>
      </c>
      <c r="C44" s="156"/>
      <c r="D44" s="123"/>
      <c r="E44" s="123"/>
      <c r="F44" s="380">
        <f>E26*1%</f>
        <v>813.7978999999999</v>
      </c>
      <c r="G44" s="380"/>
      <c r="H44" s="35"/>
      <c r="I44" s="35"/>
    </row>
    <row r="45" spans="1:9" ht="13.5" customHeight="1">
      <c r="A45" s="71"/>
      <c r="B45" s="71"/>
      <c r="C45" s="71"/>
      <c r="D45" s="71"/>
      <c r="E45" s="71"/>
      <c r="F45" s="71"/>
      <c r="G45" s="71"/>
      <c r="H45" s="71"/>
      <c r="I45" s="71"/>
    </row>
    <row r="46" spans="1:9" ht="13.5" customHeight="1">
      <c r="A46" s="71" t="s">
        <v>55</v>
      </c>
      <c r="B46" s="71"/>
      <c r="C46" s="71" t="s">
        <v>49</v>
      </c>
      <c r="D46" s="71"/>
      <c r="E46" s="71"/>
      <c r="F46" s="71" t="s">
        <v>93</v>
      </c>
      <c r="G46" s="71"/>
      <c r="H46" s="71"/>
      <c r="I46" s="71"/>
    </row>
    <row r="47" spans="1:9" ht="13.5" customHeight="1">
      <c r="A47" s="71"/>
      <c r="B47" s="71"/>
      <c r="C47" s="71"/>
      <c r="D47" s="71"/>
      <c r="E47" s="71"/>
      <c r="F47" s="132" t="s">
        <v>296</v>
      </c>
      <c r="G47" s="71"/>
      <c r="H47" s="71"/>
      <c r="I47" s="71"/>
    </row>
    <row r="48" spans="1:9" ht="13.5" customHeight="1">
      <c r="A48" s="71" t="s">
        <v>50</v>
      </c>
      <c r="B48" s="71"/>
      <c r="C48" s="71"/>
      <c r="D48" s="71"/>
      <c r="E48" s="71"/>
      <c r="F48" s="71"/>
      <c r="G48" s="71"/>
      <c r="H48" s="71"/>
      <c r="I48" s="71"/>
    </row>
    <row r="49" spans="1:9" ht="13.5" customHeight="1">
      <c r="A49" s="71"/>
      <c r="B49" s="71"/>
      <c r="C49" s="134" t="s">
        <v>51</v>
      </c>
      <c r="D49" s="71"/>
      <c r="E49" s="134"/>
      <c r="F49" s="134"/>
      <c r="G49" s="134"/>
      <c r="H49" s="71"/>
      <c r="I49" s="71"/>
    </row>
    <row r="50" spans="2:5" ht="6.75" customHeight="1">
      <c r="B50" s="162"/>
      <c r="C50" s="162"/>
      <c r="D50" s="162"/>
      <c r="E50" s="162"/>
    </row>
    <row r="51" s="71" customFormat="1" ht="15"/>
  </sheetData>
  <sheetProtection/>
  <mergeCells count="19">
    <mergeCell ref="B40:C40"/>
    <mergeCell ref="F41:G41"/>
    <mergeCell ref="A1:I1"/>
    <mergeCell ref="A2:I2"/>
    <mergeCell ref="A3:K3"/>
    <mergeCell ref="A5:I5"/>
    <mergeCell ref="A10:I10"/>
    <mergeCell ref="A11:I11"/>
    <mergeCell ref="F40:G40"/>
    <mergeCell ref="F44:G44"/>
    <mergeCell ref="A12:I12"/>
    <mergeCell ref="A13:C13"/>
    <mergeCell ref="A33:C33"/>
    <mergeCell ref="A37:I37"/>
    <mergeCell ref="B39:C39"/>
    <mergeCell ref="F39:G39"/>
    <mergeCell ref="B43:C43"/>
    <mergeCell ref="F43:G43"/>
    <mergeCell ref="F42:G42"/>
  </mergeCells>
  <printOptions/>
  <pageMargins left="0" right="0" top="0" bottom="0" header="0.31496062992125984" footer="0.31496062992125984"/>
  <pageSetup horizontalDpi="600" verticalDpi="600" orientation="portrait" paperSize="9" scale="9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K52"/>
  <sheetViews>
    <sheetView zoomScalePageLayoutView="0" workbookViewId="0" topLeftCell="A1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8.140625" style="35" customWidth="1"/>
    <col min="3" max="3" width="13.00390625" style="35" customWidth="1"/>
    <col min="4" max="4" width="13.140625" style="35" customWidth="1"/>
    <col min="5" max="5" width="12.7109375" style="35" customWidth="1"/>
    <col min="6" max="6" width="13.140625" style="35" customWidth="1"/>
    <col min="7" max="7" width="13.8515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.7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7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6" customHeight="1"/>
    <row r="7" spans="1:6" s="71" customFormat="1" ht="16.5" customHeight="1">
      <c r="A7" s="71" t="s">
        <v>2</v>
      </c>
      <c r="F7" s="132" t="s">
        <v>88</v>
      </c>
    </row>
    <row r="8" spans="1:6" s="71" customFormat="1" ht="15">
      <c r="A8" s="71" t="s">
        <v>3</v>
      </c>
      <c r="F8" s="132" t="s">
        <v>355</v>
      </c>
    </row>
    <row r="9" s="71" customFormat="1" ht="4.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464732.38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'[1]Чичерина 22'!$G$36</f>
        <v>13836.37</v>
      </c>
      <c r="H15" s="66"/>
      <c r="I15" s="66"/>
    </row>
    <row r="16" spans="1:9" s="71" customFormat="1" ht="15.75" thickBot="1">
      <c r="A16" s="67" t="s">
        <v>214</v>
      </c>
      <c r="B16" s="68"/>
      <c r="C16" s="68"/>
      <c r="D16" s="73"/>
      <c r="E16" s="74"/>
      <c r="F16" s="74"/>
      <c r="G16" s="151">
        <f>'[1]Чичерина 22'!$G$37</f>
        <v>-24091.451399999998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15">
      <c r="A19" s="79" t="s">
        <v>14</v>
      </c>
      <c r="B19" s="41" t="s">
        <v>15</v>
      </c>
      <c r="C19" s="141">
        <f>C20+C21+C22+C23</f>
        <v>9.53</v>
      </c>
      <c r="D19" s="80">
        <v>225437.93</v>
      </c>
      <c r="E19" s="80">
        <v>208572.71</v>
      </c>
      <c r="F19" s="80">
        <f aca="true" t="shared" si="0" ref="F19:F26">D19</f>
        <v>225437.93</v>
      </c>
      <c r="G19" s="81">
        <f aca="true" t="shared" si="1" ref="G19:G28">E19-D19</f>
        <v>-16865.22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79009.72572927596</v>
      </c>
      <c r="E20" s="87">
        <f>E19*I20</f>
        <v>73098.93508919202</v>
      </c>
      <c r="F20" s="87">
        <f t="shared" si="0"/>
        <v>79009.72572927596</v>
      </c>
      <c r="G20" s="88">
        <f t="shared" si="1"/>
        <v>-5910.790640083942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38558.63860440713</v>
      </c>
      <c r="E21" s="87">
        <f>E19*I21</f>
        <v>35674.03119622246</v>
      </c>
      <c r="F21" s="87">
        <f t="shared" si="0"/>
        <v>38558.63860440713</v>
      </c>
      <c r="G21" s="88">
        <f t="shared" si="1"/>
        <v>-2884.6074081846746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38558.63860440713</v>
      </c>
      <c r="E22" s="87">
        <f>E19*I22</f>
        <v>35674.03119622246</v>
      </c>
      <c r="F22" s="87">
        <f t="shared" si="0"/>
        <v>38558.63860440713</v>
      </c>
      <c r="G22" s="88">
        <f t="shared" si="1"/>
        <v>-2884.6074081846746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69310.92706190977</v>
      </c>
      <c r="E23" s="87">
        <f>E19*I23</f>
        <v>64125.71251836307</v>
      </c>
      <c r="F23" s="87">
        <f t="shared" si="0"/>
        <v>69310.92706190977</v>
      </c>
      <c r="G23" s="88">
        <f t="shared" si="1"/>
        <v>-5185.2145435466955</v>
      </c>
      <c r="H23" s="152">
        <f>C23</f>
        <v>2.93</v>
      </c>
      <c r="I23" s="71">
        <f>H23/H19</f>
        <v>0.30745015739769155</v>
      </c>
    </row>
    <row r="24" spans="1:7" ht="15">
      <c r="A24" s="41" t="s">
        <v>25</v>
      </c>
      <c r="B24" s="146" t="s">
        <v>141</v>
      </c>
      <c r="C24" s="46">
        <v>0</v>
      </c>
      <c r="D24" s="81">
        <v>0</v>
      </c>
      <c r="E24" s="81">
        <v>0</v>
      </c>
      <c r="F24" s="81">
        <f t="shared" si="0"/>
        <v>0</v>
      </c>
      <c r="G24" s="81">
        <f t="shared" si="1"/>
        <v>0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7" ht="15">
      <c r="A26" s="41" t="s">
        <v>29</v>
      </c>
      <c r="B26" s="146" t="s">
        <v>170</v>
      </c>
      <c r="C26" s="147">
        <v>0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</row>
    <row r="27" spans="1:7" ht="15">
      <c r="A27" s="41" t="s">
        <v>31</v>
      </c>
      <c r="B27" s="146" t="s">
        <v>119</v>
      </c>
      <c r="C27" s="101">
        <v>1.8</v>
      </c>
      <c r="D27" s="81">
        <v>42505.2</v>
      </c>
      <c r="E27" s="81">
        <v>39134.88</v>
      </c>
      <c r="F27" s="91">
        <f>F42</f>
        <v>12460.0988</v>
      </c>
      <c r="G27" s="81">
        <f t="shared" si="1"/>
        <v>-3370.3199999999997</v>
      </c>
    </row>
    <row r="28" spans="1:7" ht="15">
      <c r="A28" s="41" t="s">
        <v>33</v>
      </c>
      <c r="B28" s="140" t="s">
        <v>34</v>
      </c>
      <c r="C28" s="46">
        <v>0</v>
      </c>
      <c r="D28" s="81">
        <v>0</v>
      </c>
      <c r="E28" s="81">
        <v>8.57</v>
      </c>
      <c r="F28" s="91">
        <v>0</v>
      </c>
      <c r="G28" s="81">
        <f t="shared" si="1"/>
        <v>8.57</v>
      </c>
    </row>
    <row r="29" spans="1:7" ht="15">
      <c r="A29" s="41" t="s">
        <v>35</v>
      </c>
      <c r="B29" s="140" t="s">
        <v>36</v>
      </c>
      <c r="C29" s="101"/>
      <c r="D29" s="81">
        <f>SUM(D30:D33)</f>
        <v>1067257.81</v>
      </c>
      <c r="E29" s="81">
        <f>SUM(E30:E33)</f>
        <v>966870.21</v>
      </c>
      <c r="F29" s="81">
        <f>SUM(F30:F33)</f>
        <v>1067257.81</v>
      </c>
      <c r="G29" s="81">
        <f>SUM(G30:G33)</f>
        <v>-100387.6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13855.68</v>
      </c>
      <c r="E30" s="88">
        <v>12740.33</v>
      </c>
      <c r="F30" s="88">
        <f>D30</f>
        <v>13855.68</v>
      </c>
      <c r="G30" s="88">
        <f>E30-D30</f>
        <v>-1115.3500000000004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263825.73</v>
      </c>
      <c r="E31" s="88">
        <v>224990.36</v>
      </c>
      <c r="F31" s="88">
        <f>D31</f>
        <v>263825.73</v>
      </c>
      <c r="G31" s="88">
        <f>E31-D31</f>
        <v>-38835.369999999995</v>
      </c>
    </row>
    <row r="32" spans="1:7" ht="15">
      <c r="A32" s="34" t="s">
        <v>42</v>
      </c>
      <c r="B32" s="34" t="s">
        <v>40</v>
      </c>
      <c r="C32" s="149">
        <v>0</v>
      </c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ht="15.75" thickBot="1">
      <c r="A33" s="34" t="s">
        <v>41</v>
      </c>
      <c r="B33" s="34" t="s">
        <v>43</v>
      </c>
      <c r="C33" s="103" t="s">
        <v>301</v>
      </c>
      <c r="D33" s="88">
        <v>789576.4</v>
      </c>
      <c r="E33" s="88">
        <v>729139.52</v>
      </c>
      <c r="F33" s="88">
        <f>D33</f>
        <v>789576.4</v>
      </c>
      <c r="G33" s="88">
        <f>E33-D33</f>
        <v>-60436.880000000005</v>
      </c>
      <c r="H33" s="105"/>
      <c r="I33" s="105"/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585346.9500000002</v>
      </c>
      <c r="E34" s="70"/>
      <c r="F34" s="70"/>
      <c r="G34" s="70"/>
      <c r="H34" s="66"/>
      <c r="I34" s="66"/>
      <c r="J34" s="105"/>
    </row>
    <row r="35" spans="1:9" s="71" customFormat="1" ht="7.5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13844.94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2583.3297999999995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31.5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1" spans="1:9" ht="28.5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s="179" customFormat="1" ht="15">
      <c r="A42" s="113" t="s">
        <v>47</v>
      </c>
      <c r="B42" s="342" t="s">
        <v>114</v>
      </c>
      <c r="C42" s="345"/>
      <c r="D42" s="115"/>
      <c r="E42" s="115"/>
      <c r="F42" s="356">
        <f>SUM(F43:G46)</f>
        <v>12460.0988</v>
      </c>
      <c r="G42" s="351"/>
      <c r="H42" s="119"/>
      <c r="I42" s="119"/>
    </row>
    <row r="43" spans="1:9" s="179" customFormat="1" ht="26.25">
      <c r="A43" s="145" t="s">
        <v>16</v>
      </c>
      <c r="B43" s="331" t="s">
        <v>180</v>
      </c>
      <c r="C43" s="346"/>
      <c r="D43" s="216"/>
      <c r="E43" s="216" t="s">
        <v>317</v>
      </c>
      <c r="F43" s="392">
        <v>541.75</v>
      </c>
      <c r="G43" s="351"/>
      <c r="H43" s="119"/>
      <c r="I43" s="119"/>
    </row>
    <row r="44" spans="1:9" s="179" customFormat="1" ht="15">
      <c r="A44" s="145" t="s">
        <v>18</v>
      </c>
      <c r="B44" s="155" t="s">
        <v>628</v>
      </c>
      <c r="C44" s="185"/>
      <c r="D44" s="216" t="s">
        <v>352</v>
      </c>
      <c r="E44" s="216">
        <v>0.288</v>
      </c>
      <c r="F44" s="392">
        <v>8587</v>
      </c>
      <c r="G44" s="351"/>
      <c r="H44" s="119"/>
      <c r="I44" s="119"/>
    </row>
    <row r="45" spans="1:9" s="179" customFormat="1" ht="15">
      <c r="A45" s="145" t="s">
        <v>20</v>
      </c>
      <c r="B45" s="325" t="s">
        <v>663</v>
      </c>
      <c r="C45" s="350"/>
      <c r="D45" s="216"/>
      <c r="E45" s="159" t="s">
        <v>286</v>
      </c>
      <c r="F45" s="344">
        <v>2940</v>
      </c>
      <c r="G45" s="344"/>
      <c r="H45" s="119"/>
      <c r="I45" s="119"/>
    </row>
    <row r="46" spans="1:9" s="119" customFormat="1" ht="13.5" customHeight="1">
      <c r="A46" s="145" t="s">
        <v>22</v>
      </c>
      <c r="B46" s="155" t="s">
        <v>207</v>
      </c>
      <c r="C46" s="156"/>
      <c r="D46" s="123"/>
      <c r="E46" s="123"/>
      <c r="F46" s="380">
        <f>E27*1%</f>
        <v>391.3488</v>
      </c>
      <c r="G46" s="380"/>
      <c r="H46" s="35"/>
      <c r="I46" s="35"/>
    </row>
    <row r="47" spans="1:9" ht="13.5" customHeight="1">
      <c r="A47" s="71"/>
      <c r="B47" s="71"/>
      <c r="C47" s="71"/>
      <c r="D47" s="71"/>
      <c r="E47" s="71"/>
      <c r="F47" s="71"/>
      <c r="G47" s="71"/>
      <c r="H47" s="71"/>
      <c r="I47" s="71"/>
    </row>
    <row r="48" spans="1:9" ht="13.5" customHeight="1">
      <c r="A48" s="71" t="s">
        <v>55</v>
      </c>
      <c r="B48" s="71"/>
      <c r="C48" s="71" t="s">
        <v>49</v>
      </c>
      <c r="D48" s="71"/>
      <c r="E48" s="71"/>
      <c r="F48" s="71" t="s">
        <v>93</v>
      </c>
      <c r="G48" s="71"/>
      <c r="H48" s="71"/>
      <c r="I48" s="71"/>
    </row>
    <row r="49" spans="1:9" ht="13.5" customHeight="1">
      <c r="A49" s="71"/>
      <c r="B49" s="71"/>
      <c r="C49" s="71"/>
      <c r="D49" s="71"/>
      <c r="E49" s="71"/>
      <c r="F49" s="132" t="s">
        <v>296</v>
      </c>
      <c r="G49" s="71"/>
      <c r="H49" s="71"/>
      <c r="I49" s="71"/>
    </row>
    <row r="50" spans="1:9" ht="13.5" customHeight="1">
      <c r="A50" s="71" t="s">
        <v>50</v>
      </c>
      <c r="B50" s="71"/>
      <c r="C50" s="71"/>
      <c r="D50" s="71"/>
      <c r="E50" s="71"/>
      <c r="F50" s="71"/>
      <c r="G50" s="71"/>
      <c r="H50" s="71"/>
      <c r="I50" s="71"/>
    </row>
    <row r="51" spans="3:7" s="71" customFormat="1" ht="15">
      <c r="C51" s="134" t="s">
        <v>51</v>
      </c>
      <c r="E51" s="134"/>
      <c r="F51" s="134"/>
      <c r="G51" s="134"/>
    </row>
    <row r="52" spans="1:9" s="71" customFormat="1" ht="15">
      <c r="A52" s="35"/>
      <c r="B52" s="162"/>
      <c r="C52" s="162"/>
      <c r="D52" s="162"/>
      <c r="E52" s="162"/>
      <c r="F52" s="35"/>
      <c r="G52" s="35"/>
      <c r="H52" s="35"/>
      <c r="I52" s="35"/>
    </row>
    <row r="53" s="71" customFormat="1" ht="13.5" customHeight="1"/>
  </sheetData>
  <sheetProtection/>
  <mergeCells count="20">
    <mergeCell ref="B45:C45"/>
    <mergeCell ref="F45:G45"/>
    <mergeCell ref="A12:I12"/>
    <mergeCell ref="A13:C13"/>
    <mergeCell ref="F42:G42"/>
    <mergeCell ref="A34:C34"/>
    <mergeCell ref="A39:I39"/>
    <mergeCell ref="B41:C41"/>
    <mergeCell ref="F41:G41"/>
    <mergeCell ref="B42:C42"/>
    <mergeCell ref="F44:G44"/>
    <mergeCell ref="B43:C43"/>
    <mergeCell ref="F43:G43"/>
    <mergeCell ref="F46:G46"/>
    <mergeCell ref="A1:I1"/>
    <mergeCell ref="A2:I2"/>
    <mergeCell ref="A5:I5"/>
    <mergeCell ref="A10:I10"/>
    <mergeCell ref="A3:K3"/>
    <mergeCell ref="A11:I1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6">
      <selection activeCell="M47" sqref="M47"/>
    </sheetView>
  </sheetViews>
  <sheetFormatPr defaultColWidth="9.140625" defaultRowHeight="15" outlineLevelCol="1"/>
  <cols>
    <col min="1" max="1" width="3.57421875" style="19" customWidth="1"/>
    <col min="2" max="2" width="24.8515625" style="19" customWidth="1"/>
    <col min="3" max="3" width="8.00390625" style="19" customWidth="1"/>
    <col min="4" max="4" width="10.140625" style="19" customWidth="1"/>
    <col min="5" max="5" width="10.8515625" style="19" customWidth="1"/>
    <col min="6" max="6" width="10.57421875" style="19" customWidth="1"/>
    <col min="7" max="7" width="11.28125" style="19" customWidth="1"/>
    <col min="8" max="8" width="10.140625" style="19" customWidth="1"/>
    <col min="9" max="9" width="10.421875" style="19" customWidth="1"/>
    <col min="10" max="11" width="9.140625" style="19" hidden="1" customWidth="1" outlineLevel="1"/>
    <col min="12" max="12" width="9.140625" style="19" customWidth="1" collapsed="1"/>
    <col min="13" max="16384" width="9.140625" style="19" customWidth="1"/>
  </cols>
  <sheetData>
    <row r="1" spans="1:9" ht="12.75">
      <c r="A1" s="394" t="s">
        <v>0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94" t="s">
        <v>52</v>
      </c>
      <c r="B2" s="394"/>
      <c r="C2" s="394"/>
      <c r="D2" s="394"/>
      <c r="E2" s="394"/>
      <c r="F2" s="394"/>
      <c r="G2" s="394"/>
      <c r="H2" s="394"/>
      <c r="I2" s="394"/>
    </row>
    <row r="3" spans="1:9" ht="12.75">
      <c r="A3" s="394" t="s">
        <v>98</v>
      </c>
      <c r="B3" s="394"/>
      <c r="C3" s="394"/>
      <c r="D3" s="394"/>
      <c r="E3" s="394"/>
      <c r="F3" s="394"/>
      <c r="G3" s="394"/>
      <c r="H3" s="394"/>
      <c r="I3" s="394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395" t="s">
        <v>1</v>
      </c>
      <c r="B5" s="394"/>
      <c r="C5" s="394"/>
      <c r="D5" s="394"/>
      <c r="E5" s="394"/>
      <c r="F5" s="394"/>
      <c r="G5" s="394"/>
      <c r="H5" s="394"/>
      <c r="I5" s="394"/>
    </row>
    <row r="7" spans="1:6" s="21" customFormat="1" ht="12.75">
      <c r="A7" s="21" t="s">
        <v>2</v>
      </c>
      <c r="F7" s="22" t="s">
        <v>53</v>
      </c>
    </row>
    <row r="8" spans="1:6" s="21" customFormat="1" ht="12.75">
      <c r="A8" s="21" t="s">
        <v>3</v>
      </c>
      <c r="F8" s="22" t="s">
        <v>54</v>
      </c>
    </row>
    <row r="9" s="21" customFormat="1" ht="12.75">
      <c r="A9" s="21" t="s">
        <v>4</v>
      </c>
    </row>
    <row r="10" spans="1:6" s="21" customFormat="1" ht="12.75">
      <c r="A10" s="21" t="s">
        <v>5</v>
      </c>
      <c r="F10" s="22" t="s">
        <v>6</v>
      </c>
    </row>
    <row r="11" spans="1:6" s="21" customFormat="1" ht="12.75">
      <c r="A11" s="21" t="s">
        <v>7</v>
      </c>
      <c r="F11" s="22" t="s">
        <v>6</v>
      </c>
    </row>
    <row r="12" s="21" customFormat="1" ht="12.75"/>
    <row r="13" spans="1:9" s="21" customFormat="1" ht="12.75">
      <c r="A13" s="393" t="s">
        <v>8</v>
      </c>
      <c r="B13" s="393"/>
      <c r="C13" s="393"/>
      <c r="D13" s="393"/>
      <c r="E13" s="393"/>
      <c r="F13" s="393"/>
      <c r="G13" s="393"/>
      <c r="H13" s="393"/>
      <c r="I13" s="393"/>
    </row>
    <row r="14" spans="1:9" s="21" customFormat="1" ht="12.75">
      <c r="A14" s="393" t="s">
        <v>9</v>
      </c>
      <c r="B14" s="393"/>
      <c r="C14" s="393"/>
      <c r="D14" s="393"/>
      <c r="E14" s="393"/>
      <c r="F14" s="393"/>
      <c r="G14" s="393"/>
      <c r="H14" s="393"/>
      <c r="I14" s="393"/>
    </row>
    <row r="15" spans="1:9" s="21" customFormat="1" ht="12.75">
      <c r="A15" s="393" t="s">
        <v>10</v>
      </c>
      <c r="B15" s="393"/>
      <c r="C15" s="393"/>
      <c r="D15" s="393"/>
      <c r="E15" s="393"/>
      <c r="F15" s="393"/>
      <c r="G15" s="393"/>
      <c r="H15" s="393"/>
      <c r="I15" s="393"/>
    </row>
    <row r="16" s="21" customFormat="1" ht="12.75"/>
    <row r="17" spans="1:9" s="14" customFormat="1" ht="51">
      <c r="A17" s="5" t="s">
        <v>11</v>
      </c>
      <c r="B17" s="5" t="s">
        <v>12</v>
      </c>
      <c r="C17" s="5" t="s">
        <v>94</v>
      </c>
      <c r="D17" s="5" t="s">
        <v>13</v>
      </c>
      <c r="E17" s="5" t="s">
        <v>89</v>
      </c>
      <c r="F17" s="5" t="s">
        <v>90</v>
      </c>
      <c r="G17" s="13" t="s">
        <v>91</v>
      </c>
      <c r="H17" s="5" t="s">
        <v>92</v>
      </c>
      <c r="I17" s="5" t="s">
        <v>104</v>
      </c>
    </row>
    <row r="18" spans="1:11" s="21" customFormat="1" ht="25.5">
      <c r="A18" s="23" t="s">
        <v>14</v>
      </c>
      <c r="B18" s="24" t="s">
        <v>15</v>
      </c>
      <c r="C18" s="25">
        <v>6.75</v>
      </c>
      <c r="D18" s="23">
        <v>-25096.32</v>
      </c>
      <c r="E18" s="23">
        <v>174103.45</v>
      </c>
      <c r="F18" s="26">
        <v>169317.59</v>
      </c>
      <c r="G18" s="26">
        <f>E18</f>
        <v>174103.45</v>
      </c>
      <c r="H18" s="27">
        <f aca="true" t="shared" si="0" ref="H18:H33">D18+F18-G18</f>
        <v>-29882.180000000022</v>
      </c>
      <c r="I18" s="27">
        <f aca="true" t="shared" si="1" ref="I18:I33">F18-E18</f>
        <v>-4785.860000000015</v>
      </c>
      <c r="J18" s="28">
        <v>6.75</v>
      </c>
      <c r="K18" s="28"/>
    </row>
    <row r="19" spans="1:11" s="21" customFormat="1" ht="25.5">
      <c r="A19" s="23" t="s">
        <v>16</v>
      </c>
      <c r="B19" s="24" t="s">
        <v>17</v>
      </c>
      <c r="C19" s="25">
        <v>2.41</v>
      </c>
      <c r="D19" s="26">
        <v>-8687.19</v>
      </c>
      <c r="E19" s="26">
        <f>E18*K19</f>
        <v>62161.37992592593</v>
      </c>
      <c r="F19" s="26">
        <f>F18*K19</f>
        <v>60452.65065185185</v>
      </c>
      <c r="G19" s="26">
        <f>E19</f>
        <v>62161.37992592593</v>
      </c>
      <c r="H19" s="27">
        <f t="shared" si="0"/>
        <v>-10395.919274074084</v>
      </c>
      <c r="I19" s="27">
        <f t="shared" si="1"/>
        <v>-1708.7292740740813</v>
      </c>
      <c r="J19" s="28">
        <v>2.41</v>
      </c>
      <c r="K19" s="28">
        <f>J19/J18</f>
        <v>0.35703703703703704</v>
      </c>
    </row>
    <row r="20" spans="1:11" s="21" customFormat="1" ht="25.5">
      <c r="A20" s="23" t="s">
        <v>18</v>
      </c>
      <c r="B20" s="24" t="s">
        <v>19</v>
      </c>
      <c r="C20" s="25">
        <v>1.2</v>
      </c>
      <c r="D20" s="26">
        <v>-4918.14</v>
      </c>
      <c r="E20" s="26">
        <f>E18*K20</f>
        <v>30951.724444444448</v>
      </c>
      <c r="F20" s="26">
        <f>F18*K20</f>
        <v>30100.90488888889</v>
      </c>
      <c r="G20" s="26">
        <f>E20</f>
        <v>30951.724444444448</v>
      </c>
      <c r="H20" s="27">
        <f t="shared" si="0"/>
        <v>-5768.959555555557</v>
      </c>
      <c r="I20" s="27">
        <f t="shared" si="1"/>
        <v>-850.8195555555576</v>
      </c>
      <c r="J20" s="28">
        <v>1.2</v>
      </c>
      <c r="K20" s="28">
        <f>J20/J18</f>
        <v>0.17777777777777778</v>
      </c>
    </row>
    <row r="21" spans="1:11" s="21" customFormat="1" ht="25.5">
      <c r="A21" s="23" t="s">
        <v>20</v>
      </c>
      <c r="B21" s="24" t="s">
        <v>21</v>
      </c>
      <c r="C21" s="25">
        <v>1.51</v>
      </c>
      <c r="D21" s="26">
        <v>-6113.21</v>
      </c>
      <c r="E21" s="26">
        <f>E18*K21</f>
        <v>38947.5865925926</v>
      </c>
      <c r="F21" s="26">
        <f>F18*K21</f>
        <v>37876.971985185184</v>
      </c>
      <c r="G21" s="26">
        <f>E21</f>
        <v>38947.5865925926</v>
      </c>
      <c r="H21" s="27">
        <f t="shared" si="0"/>
        <v>-7183.824607407412</v>
      </c>
      <c r="I21" s="27">
        <f t="shared" si="1"/>
        <v>-1070.6146074074131</v>
      </c>
      <c r="J21" s="28">
        <v>1.51</v>
      </c>
      <c r="K21" s="28">
        <f>J21/J18</f>
        <v>0.2237037037037037</v>
      </c>
    </row>
    <row r="22" spans="1:11" s="21" customFormat="1" ht="25.5">
      <c r="A22" s="23" t="s">
        <v>22</v>
      </c>
      <c r="B22" s="24" t="s">
        <v>23</v>
      </c>
      <c r="C22" s="25">
        <v>1.63</v>
      </c>
      <c r="D22" s="26">
        <v>-5377.78</v>
      </c>
      <c r="E22" s="26">
        <f>E18*K22</f>
        <v>42042.75903703704</v>
      </c>
      <c r="F22" s="26">
        <f>F18*K22</f>
        <v>40887.06247407407</v>
      </c>
      <c r="G22" s="26">
        <f>E22</f>
        <v>42042.75903703704</v>
      </c>
      <c r="H22" s="27">
        <f t="shared" si="0"/>
        <v>-6533.476562962969</v>
      </c>
      <c r="I22" s="27">
        <f t="shared" si="1"/>
        <v>-1155.6965629629703</v>
      </c>
      <c r="J22" s="28">
        <v>1.63</v>
      </c>
      <c r="K22" s="28">
        <f>J22/J18</f>
        <v>0.24148148148148146</v>
      </c>
    </row>
    <row r="23" spans="1:9" ht="12.75">
      <c r="A23" s="24" t="s">
        <v>25</v>
      </c>
      <c r="B23" s="24" t="s">
        <v>26</v>
      </c>
      <c r="C23" s="25">
        <v>3.15</v>
      </c>
      <c r="D23" s="24">
        <v>0</v>
      </c>
      <c r="E23" s="24">
        <v>0</v>
      </c>
      <c r="F23" s="27">
        <v>0</v>
      </c>
      <c r="G23" s="27">
        <v>0</v>
      </c>
      <c r="H23" s="27">
        <f t="shared" si="0"/>
        <v>0</v>
      </c>
      <c r="I23" s="27">
        <f t="shared" si="1"/>
        <v>0</v>
      </c>
    </row>
    <row r="24" spans="1:9" ht="12.75">
      <c r="A24" s="24" t="s">
        <v>27</v>
      </c>
      <c r="B24" s="24" t="s">
        <v>28</v>
      </c>
      <c r="C24" s="12">
        <v>2.6</v>
      </c>
      <c r="D24" s="24">
        <v>-6439.37</v>
      </c>
      <c r="E24" s="24">
        <v>59389.92</v>
      </c>
      <c r="F24" s="27">
        <v>57568.62</v>
      </c>
      <c r="G24" s="27">
        <f>E24</f>
        <v>59389.92</v>
      </c>
      <c r="H24" s="27">
        <f t="shared" si="0"/>
        <v>-8260.669999999998</v>
      </c>
      <c r="I24" s="27">
        <f t="shared" si="1"/>
        <v>-1821.2999999999956</v>
      </c>
    </row>
    <row r="25" spans="1:9" ht="12.75" customHeight="1">
      <c r="A25" s="24" t="s">
        <v>29</v>
      </c>
      <c r="B25" s="24" t="s">
        <v>30</v>
      </c>
      <c r="C25" s="25">
        <v>0.81</v>
      </c>
      <c r="D25" s="24">
        <v>0</v>
      </c>
      <c r="E25" s="24">
        <v>0</v>
      </c>
      <c r="F25" s="24">
        <v>0</v>
      </c>
      <c r="G25" s="24">
        <v>0</v>
      </c>
      <c r="H25" s="24">
        <f t="shared" si="0"/>
        <v>0</v>
      </c>
      <c r="I25" s="24">
        <f t="shared" si="1"/>
        <v>0</v>
      </c>
    </row>
    <row r="26" spans="1:9" ht="25.5">
      <c r="A26" s="24" t="s">
        <v>31</v>
      </c>
      <c r="B26" s="24" t="s">
        <v>32</v>
      </c>
      <c r="C26" s="25">
        <v>1.61</v>
      </c>
      <c r="D26" s="24">
        <v>-28369.61</v>
      </c>
      <c r="E26" s="24">
        <v>65703.01</v>
      </c>
      <c r="F26" s="24">
        <v>65330.4</v>
      </c>
      <c r="G26" s="24">
        <v>24581.67</v>
      </c>
      <c r="H26" s="24">
        <f>D26+F26-G26</f>
        <v>12379.120000000003</v>
      </c>
      <c r="I26" s="24">
        <f>F26-E26</f>
        <v>-372.6099999999933</v>
      </c>
    </row>
    <row r="27" spans="1:9" s="33" customFormat="1" ht="12.75">
      <c r="A27" s="407" t="s">
        <v>105</v>
      </c>
      <c r="B27" s="408"/>
      <c r="C27" s="31"/>
      <c r="D27" s="32">
        <f aca="true" t="shared" si="2" ref="D27:I27">D18+D23+D24+D25+D26</f>
        <v>-59905.3</v>
      </c>
      <c r="E27" s="32">
        <f t="shared" si="2"/>
        <v>299196.38</v>
      </c>
      <c r="F27" s="32">
        <f t="shared" si="2"/>
        <v>292216.61</v>
      </c>
      <c r="G27" s="32">
        <f t="shared" si="2"/>
        <v>258075.03999999998</v>
      </c>
      <c r="H27" s="32">
        <f t="shared" si="2"/>
        <v>-25763.730000000018</v>
      </c>
      <c r="I27" s="32">
        <f t="shared" si="2"/>
        <v>-6979.770000000004</v>
      </c>
    </row>
    <row r="28" spans="1:9" ht="25.5">
      <c r="A28" s="24" t="s">
        <v>33</v>
      </c>
      <c r="B28" s="24" t="s">
        <v>34</v>
      </c>
      <c r="C28" s="25">
        <v>0</v>
      </c>
      <c r="D28" s="24">
        <v>21203.4</v>
      </c>
      <c r="E28" s="24">
        <v>0</v>
      </c>
      <c r="F28" s="24">
        <v>42.57</v>
      </c>
      <c r="G28" s="24">
        <v>0</v>
      </c>
      <c r="H28" s="24">
        <f t="shared" si="0"/>
        <v>21245.97</v>
      </c>
      <c r="I28" s="24">
        <f t="shared" si="1"/>
        <v>42.57</v>
      </c>
    </row>
    <row r="29" spans="1:9" ht="25.5">
      <c r="A29" s="24" t="s">
        <v>35</v>
      </c>
      <c r="B29" s="24" t="s">
        <v>36</v>
      </c>
      <c r="C29" s="25">
        <f aca="true" t="shared" si="3" ref="C29:I29">SUM(C30:C33)</f>
        <v>1680.9299999999998</v>
      </c>
      <c r="D29" s="24">
        <f t="shared" si="3"/>
        <v>-101927.91</v>
      </c>
      <c r="E29" s="24">
        <f t="shared" si="3"/>
        <v>1158486.7</v>
      </c>
      <c r="F29" s="24">
        <f t="shared" si="3"/>
        <v>1093856.12</v>
      </c>
      <c r="G29" s="24">
        <f t="shared" si="3"/>
        <v>1144236.6</v>
      </c>
      <c r="H29" s="24">
        <f t="shared" si="3"/>
        <v>-152308.38999999996</v>
      </c>
      <c r="I29" s="24">
        <f t="shared" si="3"/>
        <v>-64630.57999999995</v>
      </c>
    </row>
    <row r="30" spans="1:9" ht="12.75">
      <c r="A30" s="24" t="s">
        <v>37</v>
      </c>
      <c r="B30" s="24" t="s">
        <v>96</v>
      </c>
      <c r="C30" s="12">
        <v>3.13</v>
      </c>
      <c r="D30" s="24">
        <v>-5404.73</v>
      </c>
      <c r="E30" s="24">
        <v>14250.1</v>
      </c>
      <c r="F30" s="24">
        <v>16846.06</v>
      </c>
      <c r="G30" s="24"/>
      <c r="H30" s="24">
        <f t="shared" si="0"/>
        <v>11441.330000000002</v>
      </c>
      <c r="I30" s="24">
        <f t="shared" si="1"/>
        <v>2595.960000000001</v>
      </c>
    </row>
    <row r="31" spans="1:9" ht="12.75">
      <c r="A31" s="24" t="s">
        <v>39</v>
      </c>
      <c r="B31" s="24" t="s">
        <v>38</v>
      </c>
      <c r="C31" s="12">
        <v>18.21</v>
      </c>
      <c r="D31" s="24">
        <v>-13533.66</v>
      </c>
      <c r="E31" s="24">
        <v>202200.89</v>
      </c>
      <c r="F31" s="24">
        <v>195379.97</v>
      </c>
      <c r="G31" s="24">
        <f>E31</f>
        <v>202200.89</v>
      </c>
      <c r="H31" s="24">
        <f t="shared" si="0"/>
        <v>-20354.580000000016</v>
      </c>
      <c r="I31" s="24">
        <f t="shared" si="1"/>
        <v>-6820.920000000013</v>
      </c>
    </row>
    <row r="32" spans="1:9" ht="12.75">
      <c r="A32" s="24" t="s">
        <v>42</v>
      </c>
      <c r="B32" s="24" t="s">
        <v>40</v>
      </c>
      <c r="C32" s="12">
        <v>115.3</v>
      </c>
      <c r="D32" s="24">
        <v>-22785.21</v>
      </c>
      <c r="E32" s="24">
        <v>350895.14</v>
      </c>
      <c r="F32" s="24">
        <v>322914.71</v>
      </c>
      <c r="G32" s="24">
        <f>E32</f>
        <v>350895.14</v>
      </c>
      <c r="H32" s="24">
        <f t="shared" si="0"/>
        <v>-50765.640000000014</v>
      </c>
      <c r="I32" s="24">
        <f t="shared" si="1"/>
        <v>-27980.429999999993</v>
      </c>
    </row>
    <row r="33" spans="1:9" ht="12.75">
      <c r="A33" s="24" t="s">
        <v>41</v>
      </c>
      <c r="B33" s="24" t="s">
        <v>43</v>
      </c>
      <c r="C33" s="12">
        <v>1544.29</v>
      </c>
      <c r="D33" s="24">
        <v>-60204.31</v>
      </c>
      <c r="E33" s="24">
        <v>591140.57</v>
      </c>
      <c r="F33" s="24">
        <v>558715.38</v>
      </c>
      <c r="G33" s="24">
        <f>E33</f>
        <v>591140.57</v>
      </c>
      <c r="H33" s="24">
        <f t="shared" si="0"/>
        <v>-92629.49999999994</v>
      </c>
      <c r="I33" s="24">
        <f t="shared" si="1"/>
        <v>-32425.189999999944</v>
      </c>
    </row>
    <row r="34" spans="1:11" s="16" customFormat="1" ht="15" customHeight="1">
      <c r="A34" s="401" t="s">
        <v>97</v>
      </c>
      <c r="B34" s="402"/>
      <c r="C34" s="403"/>
      <c r="D34" s="15">
        <f aca="true" t="shared" si="4" ref="D34:K34">D18+D23+D24+D25+D29</f>
        <v>-133463.6</v>
      </c>
      <c r="E34" s="15">
        <f t="shared" si="4"/>
        <v>1391980.0699999998</v>
      </c>
      <c r="F34" s="15">
        <f t="shared" si="4"/>
        <v>1320742.33</v>
      </c>
      <c r="G34" s="15">
        <f t="shared" si="4"/>
        <v>1377729.9700000002</v>
      </c>
      <c r="H34" s="15">
        <f t="shared" si="4"/>
        <v>-190451.24</v>
      </c>
      <c r="I34" s="15">
        <f t="shared" si="4"/>
        <v>-71237.73999999996</v>
      </c>
      <c r="J34" s="15">
        <f t="shared" si="4"/>
        <v>6.75</v>
      </c>
      <c r="K34" s="15">
        <f t="shared" si="4"/>
        <v>0</v>
      </c>
    </row>
    <row r="35" spans="1:11" s="16" customFormat="1" ht="11.25" customHeight="1">
      <c r="A35" s="17"/>
      <c r="B35" s="17"/>
      <c r="C35" s="17"/>
      <c r="D35" s="18"/>
      <c r="E35" s="18"/>
      <c r="F35" s="18"/>
      <c r="G35" s="18"/>
      <c r="H35" s="18"/>
      <c r="I35" s="18"/>
      <c r="J35" s="18"/>
      <c r="K35" s="18"/>
    </row>
    <row r="36" spans="1:9" ht="23.25" customHeight="1">
      <c r="A36" s="395" t="s">
        <v>44</v>
      </c>
      <c r="B36" s="395"/>
      <c r="C36" s="395"/>
      <c r="D36" s="395"/>
      <c r="E36" s="395"/>
      <c r="F36" s="395"/>
      <c r="G36" s="395"/>
      <c r="H36" s="395"/>
      <c r="I36" s="395"/>
    </row>
    <row r="38" spans="1:7" s="14" customFormat="1" ht="28.5" customHeight="1">
      <c r="A38" s="5" t="s">
        <v>11</v>
      </c>
      <c r="B38" s="404" t="s">
        <v>45</v>
      </c>
      <c r="C38" s="405"/>
      <c r="D38" s="405"/>
      <c r="E38" s="406"/>
      <c r="F38" s="404" t="s">
        <v>46</v>
      </c>
      <c r="G38" s="400"/>
    </row>
    <row r="39" spans="1:7" s="16" customFormat="1" ht="13.5">
      <c r="A39" s="29" t="s">
        <v>47</v>
      </c>
      <c r="B39" s="396" t="s">
        <v>48</v>
      </c>
      <c r="C39" s="397"/>
      <c r="D39" s="397"/>
      <c r="E39" s="398"/>
      <c r="F39" s="399">
        <f>SUM(F40:G43)</f>
        <v>24581.67</v>
      </c>
      <c r="G39" s="400"/>
    </row>
    <row r="40" spans="1:7" ht="15.75" customHeight="1">
      <c r="A40" s="24" t="s">
        <v>16</v>
      </c>
      <c r="B40" s="409" t="s">
        <v>101</v>
      </c>
      <c r="C40" s="410"/>
      <c r="D40" s="410"/>
      <c r="E40" s="411"/>
      <c r="F40" s="412">
        <v>1007.78</v>
      </c>
      <c r="G40" s="412"/>
    </row>
    <row r="41" spans="1:7" ht="15.75" customHeight="1">
      <c r="A41" s="24" t="s">
        <v>18</v>
      </c>
      <c r="B41" s="409" t="s">
        <v>100</v>
      </c>
      <c r="C41" s="410"/>
      <c r="D41" s="410"/>
      <c r="E41" s="411"/>
      <c r="F41" s="412">
        <v>10480.41</v>
      </c>
      <c r="G41" s="412"/>
    </row>
    <row r="42" spans="1:7" ht="15.75" customHeight="1">
      <c r="A42" s="24" t="s">
        <v>20</v>
      </c>
      <c r="B42" s="409" t="s">
        <v>102</v>
      </c>
      <c r="C42" s="410"/>
      <c r="D42" s="410"/>
      <c r="E42" s="411"/>
      <c r="F42" s="412">
        <v>3847.63</v>
      </c>
      <c r="G42" s="412"/>
    </row>
    <row r="43" spans="1:7" ht="15.75" customHeight="1">
      <c r="A43" s="24" t="s">
        <v>22</v>
      </c>
      <c r="B43" s="409" t="s">
        <v>103</v>
      </c>
      <c r="C43" s="410"/>
      <c r="D43" s="410"/>
      <c r="E43" s="411"/>
      <c r="F43" s="412">
        <v>9245.85</v>
      </c>
      <c r="G43" s="412"/>
    </row>
    <row r="44" spans="2:5" ht="12.75">
      <c r="B44" s="9"/>
      <c r="C44" s="9"/>
      <c r="D44" s="9"/>
      <c r="E44" s="9"/>
    </row>
    <row r="45" s="21" customFormat="1" ht="12.75"/>
    <row r="46" spans="1:8" s="21" customFormat="1" ht="12.75">
      <c r="A46" s="21" t="s">
        <v>55</v>
      </c>
      <c r="F46" s="21" t="s">
        <v>49</v>
      </c>
      <c r="H46" s="21" t="s">
        <v>93</v>
      </c>
    </row>
    <row r="47" s="21" customFormat="1" ht="12.75"/>
    <row r="48" s="21" customFormat="1" ht="12.75">
      <c r="F48" s="22" t="s">
        <v>99</v>
      </c>
    </row>
    <row r="49" s="21" customFormat="1" ht="12.75"/>
    <row r="50" s="21" customFormat="1" ht="12.75">
      <c r="A50" s="21" t="s">
        <v>50</v>
      </c>
    </row>
    <row r="51" spans="4:8" s="21" customFormat="1" ht="12.75">
      <c r="D51" s="30" t="s">
        <v>51</v>
      </c>
      <c r="F51" s="30"/>
      <c r="G51" s="30"/>
      <c r="H51" s="30"/>
    </row>
    <row r="52" s="21" customFormat="1" ht="12.75"/>
    <row r="53" s="21" customFormat="1" ht="12.75"/>
  </sheetData>
  <sheetProtection/>
  <mergeCells count="22">
    <mergeCell ref="B40:E40"/>
    <mergeCell ref="F40:G40"/>
    <mergeCell ref="B41:E41"/>
    <mergeCell ref="F41:G41"/>
    <mergeCell ref="B43:E43"/>
    <mergeCell ref="F43:G43"/>
    <mergeCell ref="B42:E42"/>
    <mergeCell ref="F42:G42"/>
    <mergeCell ref="B39:E39"/>
    <mergeCell ref="F39:G39"/>
    <mergeCell ref="A15:I15"/>
    <mergeCell ref="A34:C34"/>
    <mergeCell ref="A36:I36"/>
    <mergeCell ref="B38:E38"/>
    <mergeCell ref="F38:G38"/>
    <mergeCell ref="A27:B27"/>
    <mergeCell ref="A14:I14"/>
    <mergeCell ref="A1:I1"/>
    <mergeCell ref="A2:I2"/>
    <mergeCell ref="A3:I3"/>
    <mergeCell ref="A5:I5"/>
    <mergeCell ref="A13:I1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3">
      <selection activeCell="O40" sqref="O40"/>
    </sheetView>
  </sheetViews>
  <sheetFormatPr defaultColWidth="9.140625" defaultRowHeight="15" outlineLevelCol="1"/>
  <cols>
    <col min="1" max="1" width="3.8515625" style="19" customWidth="1"/>
    <col min="2" max="2" width="29.28125" style="19" customWidth="1"/>
    <col min="3" max="3" width="11.421875" style="19" customWidth="1"/>
    <col min="4" max="4" width="13.28125" style="19" customWidth="1"/>
    <col min="5" max="5" width="14.57421875" style="19" customWidth="1"/>
    <col min="6" max="6" width="13.421875" style="19" customWidth="1"/>
    <col min="7" max="7" width="14.00390625" style="19" customWidth="1"/>
    <col min="8" max="8" width="10.140625" style="19" hidden="1" customWidth="1" outlineLevel="1"/>
    <col min="9" max="9" width="10.421875" style="19" hidden="1" customWidth="1" outlineLevel="1"/>
    <col min="10" max="11" width="9.140625" style="19" hidden="1" customWidth="1" outlineLevel="1"/>
    <col min="12" max="12" width="9.140625" style="19" customWidth="1" collapsed="1"/>
    <col min="13" max="16384" width="9.140625" style="19" customWidth="1"/>
  </cols>
  <sheetData>
    <row r="1" spans="1:9" ht="12.75">
      <c r="A1" s="394" t="s">
        <v>0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94" t="s">
        <v>52</v>
      </c>
      <c r="B2" s="394"/>
      <c r="C2" s="394"/>
      <c r="D2" s="394"/>
      <c r="E2" s="394"/>
      <c r="F2" s="394"/>
      <c r="G2" s="394"/>
      <c r="H2" s="394"/>
      <c r="I2" s="394"/>
    </row>
    <row r="3" spans="1:9" ht="12.75">
      <c r="A3" s="394" t="s">
        <v>98</v>
      </c>
      <c r="B3" s="394"/>
      <c r="C3" s="394"/>
      <c r="D3" s="394"/>
      <c r="E3" s="394"/>
      <c r="F3" s="394"/>
      <c r="G3" s="394"/>
      <c r="H3" s="394"/>
      <c r="I3" s="394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395" t="s">
        <v>1</v>
      </c>
      <c r="B5" s="394"/>
      <c r="C5" s="394"/>
      <c r="D5" s="394"/>
      <c r="E5" s="394"/>
      <c r="F5" s="394"/>
      <c r="G5" s="394"/>
      <c r="H5" s="394"/>
      <c r="I5" s="394"/>
    </row>
    <row r="7" spans="1:6" s="21" customFormat="1" ht="12.75">
      <c r="A7" s="21" t="s">
        <v>2</v>
      </c>
      <c r="F7" s="22" t="s">
        <v>53</v>
      </c>
    </row>
    <row r="8" spans="1:6" s="21" customFormat="1" ht="12.75">
      <c r="A8" s="21" t="s">
        <v>3</v>
      </c>
      <c r="F8" s="22" t="s">
        <v>54</v>
      </c>
    </row>
    <row r="9" s="21" customFormat="1" ht="12.75">
      <c r="A9" s="21" t="s">
        <v>4</v>
      </c>
    </row>
    <row r="10" spans="1:6" s="21" customFormat="1" ht="12.75">
      <c r="A10" s="21" t="s">
        <v>5</v>
      </c>
      <c r="F10" s="22" t="s">
        <v>6</v>
      </c>
    </row>
    <row r="11" spans="1:6" s="21" customFormat="1" ht="12.75">
      <c r="A11" s="21" t="s">
        <v>7</v>
      </c>
      <c r="F11" s="22" t="s">
        <v>6</v>
      </c>
    </row>
    <row r="12" s="21" customFormat="1" ht="12.75"/>
    <row r="13" spans="1:9" s="21" customFormat="1" ht="12.75">
      <c r="A13" s="393" t="s">
        <v>8</v>
      </c>
      <c r="B13" s="393"/>
      <c r="C13" s="393"/>
      <c r="D13" s="393"/>
      <c r="E13" s="393"/>
      <c r="F13" s="393"/>
      <c r="G13" s="393"/>
      <c r="H13" s="393"/>
      <c r="I13" s="393"/>
    </row>
    <row r="14" spans="1:9" s="21" customFormat="1" ht="12.75">
      <c r="A14" s="393" t="s">
        <v>9</v>
      </c>
      <c r="B14" s="393"/>
      <c r="C14" s="393"/>
      <c r="D14" s="393"/>
      <c r="E14" s="393"/>
      <c r="F14" s="393"/>
      <c r="G14" s="393"/>
      <c r="H14" s="393"/>
      <c r="I14" s="393"/>
    </row>
    <row r="15" spans="1:9" s="21" customFormat="1" ht="12.75">
      <c r="A15" s="393" t="s">
        <v>10</v>
      </c>
      <c r="B15" s="393"/>
      <c r="C15" s="393"/>
      <c r="D15" s="393"/>
      <c r="E15" s="393"/>
      <c r="F15" s="393"/>
      <c r="G15" s="393"/>
      <c r="H15" s="393"/>
      <c r="I15" s="393"/>
    </row>
    <row r="16" s="21" customFormat="1" ht="12.75"/>
    <row r="17" spans="1:7" s="14" customFormat="1" ht="51">
      <c r="A17" s="5" t="s">
        <v>11</v>
      </c>
      <c r="B17" s="5" t="s">
        <v>12</v>
      </c>
      <c r="C17" s="5" t="s">
        <v>94</v>
      </c>
      <c r="D17" s="5" t="s">
        <v>89</v>
      </c>
      <c r="E17" s="5" t="s">
        <v>90</v>
      </c>
      <c r="F17" s="13" t="s">
        <v>91</v>
      </c>
      <c r="G17" s="5" t="s">
        <v>104</v>
      </c>
    </row>
    <row r="18" spans="1:9" s="21" customFormat="1" ht="25.5">
      <c r="A18" s="23" t="s">
        <v>14</v>
      </c>
      <c r="B18" s="24" t="s">
        <v>15</v>
      </c>
      <c r="C18" s="25">
        <v>6.75</v>
      </c>
      <c r="D18" s="23">
        <v>174103.45</v>
      </c>
      <c r="E18" s="26">
        <v>169317.59</v>
      </c>
      <c r="F18" s="26">
        <f>D18</f>
        <v>174103.45</v>
      </c>
      <c r="G18" s="27">
        <f aca="true" t="shared" si="0" ref="G18:G27">E18-D18</f>
        <v>-4785.860000000015</v>
      </c>
      <c r="H18" s="28">
        <v>6.75</v>
      </c>
      <c r="I18" s="28"/>
    </row>
    <row r="19" spans="1:9" s="21" customFormat="1" ht="25.5">
      <c r="A19" s="23" t="s">
        <v>16</v>
      </c>
      <c r="B19" s="24" t="s">
        <v>17</v>
      </c>
      <c r="C19" s="25">
        <v>2.41</v>
      </c>
      <c r="D19" s="26">
        <f>D18*I19</f>
        <v>62161.37992592593</v>
      </c>
      <c r="E19" s="26">
        <f>E18*I19</f>
        <v>60452.65065185185</v>
      </c>
      <c r="F19" s="26">
        <f>D19</f>
        <v>62161.37992592593</v>
      </c>
      <c r="G19" s="27">
        <f t="shared" si="0"/>
        <v>-1708.7292740740813</v>
      </c>
      <c r="H19" s="28">
        <v>2.41</v>
      </c>
      <c r="I19" s="28">
        <f>H19/H18</f>
        <v>0.35703703703703704</v>
      </c>
    </row>
    <row r="20" spans="1:9" s="21" customFormat="1" ht="25.5">
      <c r="A20" s="23" t="s">
        <v>18</v>
      </c>
      <c r="B20" s="24" t="s">
        <v>19</v>
      </c>
      <c r="C20" s="25">
        <v>1.2</v>
      </c>
      <c r="D20" s="26">
        <f>D18*I20</f>
        <v>30951.724444444448</v>
      </c>
      <c r="E20" s="26">
        <f>E18*I20</f>
        <v>30100.90488888889</v>
      </c>
      <c r="F20" s="26">
        <f>D20</f>
        <v>30951.724444444448</v>
      </c>
      <c r="G20" s="27">
        <f t="shared" si="0"/>
        <v>-850.8195555555576</v>
      </c>
      <c r="H20" s="28">
        <v>1.2</v>
      </c>
      <c r="I20" s="28">
        <f>H20/H18</f>
        <v>0.17777777777777778</v>
      </c>
    </row>
    <row r="21" spans="1:9" s="21" customFormat="1" ht="12.75">
      <c r="A21" s="23" t="s">
        <v>20</v>
      </c>
      <c r="B21" s="24" t="s">
        <v>21</v>
      </c>
      <c r="C21" s="25">
        <v>1.51</v>
      </c>
      <c r="D21" s="26">
        <f>D18*I21</f>
        <v>38947.5865925926</v>
      </c>
      <c r="E21" s="26">
        <f>E18*I21</f>
        <v>37876.971985185184</v>
      </c>
      <c r="F21" s="26">
        <f>D21</f>
        <v>38947.5865925926</v>
      </c>
      <c r="G21" s="27">
        <f t="shared" si="0"/>
        <v>-1070.6146074074131</v>
      </c>
      <c r="H21" s="28">
        <v>1.51</v>
      </c>
      <c r="I21" s="28">
        <f>H21/H18</f>
        <v>0.2237037037037037</v>
      </c>
    </row>
    <row r="22" spans="1:9" s="21" customFormat="1" ht="25.5">
      <c r="A22" s="23" t="s">
        <v>22</v>
      </c>
      <c r="B22" s="24" t="s">
        <v>23</v>
      </c>
      <c r="C22" s="25">
        <v>1.63</v>
      </c>
      <c r="D22" s="26">
        <f>D18*I22</f>
        <v>42042.75903703704</v>
      </c>
      <c r="E22" s="26">
        <f>E18*I22</f>
        <v>40887.06247407407</v>
      </c>
      <c r="F22" s="26">
        <f>D22</f>
        <v>42042.75903703704</v>
      </c>
      <c r="G22" s="27">
        <f t="shared" si="0"/>
        <v>-1155.6965629629703</v>
      </c>
      <c r="H22" s="28">
        <v>1.63</v>
      </c>
      <c r="I22" s="28">
        <f>H22/H18</f>
        <v>0.24148148148148146</v>
      </c>
    </row>
    <row r="23" spans="1:7" ht="12.75">
      <c r="A23" s="24" t="s">
        <v>25</v>
      </c>
      <c r="B23" s="24" t="s">
        <v>26</v>
      </c>
      <c r="C23" s="25">
        <v>3.15</v>
      </c>
      <c r="D23" s="24">
        <v>0</v>
      </c>
      <c r="E23" s="27">
        <v>0</v>
      </c>
      <c r="F23" s="27">
        <v>0</v>
      </c>
      <c r="G23" s="27">
        <f t="shared" si="0"/>
        <v>0</v>
      </c>
    </row>
    <row r="24" spans="1:7" ht="12.75">
      <c r="A24" s="24" t="s">
        <v>27</v>
      </c>
      <c r="B24" s="24" t="s">
        <v>28</v>
      </c>
      <c r="C24" s="12">
        <v>2.6</v>
      </c>
      <c r="D24" s="24">
        <v>59389.92</v>
      </c>
      <c r="E24" s="27">
        <v>57568.62</v>
      </c>
      <c r="F24" s="27">
        <f>D24</f>
        <v>59389.92</v>
      </c>
      <c r="G24" s="27">
        <f t="shared" si="0"/>
        <v>-1821.2999999999956</v>
      </c>
    </row>
    <row r="25" spans="1:7" ht="12.75">
      <c r="A25" s="24" t="s">
        <v>29</v>
      </c>
      <c r="B25" s="24" t="s">
        <v>30</v>
      </c>
      <c r="C25" s="25">
        <v>0.81</v>
      </c>
      <c r="D25" s="24">
        <v>0</v>
      </c>
      <c r="E25" s="24">
        <v>0</v>
      </c>
      <c r="F25" s="24">
        <v>0</v>
      </c>
      <c r="G25" s="24">
        <f t="shared" si="0"/>
        <v>0</v>
      </c>
    </row>
    <row r="26" spans="1:7" ht="25.5">
      <c r="A26" s="24" t="s">
        <v>31</v>
      </c>
      <c r="B26" s="24" t="s">
        <v>32</v>
      </c>
      <c r="C26" s="25">
        <v>1.61</v>
      </c>
      <c r="D26" s="24">
        <v>65703.01</v>
      </c>
      <c r="E26" s="24">
        <v>65330.4</v>
      </c>
      <c r="F26" s="24">
        <v>24581.67</v>
      </c>
      <c r="G26" s="24">
        <f t="shared" si="0"/>
        <v>-372.6099999999933</v>
      </c>
    </row>
    <row r="27" spans="1:7" ht="25.5">
      <c r="A27" s="24" t="s">
        <v>33</v>
      </c>
      <c r="B27" s="24" t="s">
        <v>34</v>
      </c>
      <c r="C27" s="25">
        <v>0</v>
      </c>
      <c r="D27" s="24">
        <v>0</v>
      </c>
      <c r="E27" s="24">
        <v>42.57</v>
      </c>
      <c r="F27" s="24">
        <v>0</v>
      </c>
      <c r="G27" s="24">
        <f t="shared" si="0"/>
        <v>42.57</v>
      </c>
    </row>
    <row r="28" spans="1:7" ht="25.5">
      <c r="A28" s="24" t="s">
        <v>35</v>
      </c>
      <c r="B28" s="24" t="s">
        <v>36</v>
      </c>
      <c r="C28" s="25">
        <f>SUM(C29:C32)</f>
        <v>1680.9299999999998</v>
      </c>
      <c r="D28" s="24">
        <f>SUM(D29:D32)</f>
        <v>1158486.7</v>
      </c>
      <c r="E28" s="24">
        <f>SUM(E29:E32)</f>
        <v>1093856.12</v>
      </c>
      <c r="F28" s="24">
        <f>SUM(F29:F32)</f>
        <v>1144236.6</v>
      </c>
      <c r="G28" s="24">
        <f>SUM(G29:G32)</f>
        <v>-64630.57999999995</v>
      </c>
    </row>
    <row r="29" spans="1:7" ht="12.75">
      <c r="A29" s="24" t="s">
        <v>37</v>
      </c>
      <c r="B29" s="24" t="s">
        <v>96</v>
      </c>
      <c r="C29" s="12">
        <v>3.13</v>
      </c>
      <c r="D29" s="24">
        <v>14250.1</v>
      </c>
      <c r="E29" s="24">
        <v>16846.06</v>
      </c>
      <c r="F29" s="24"/>
      <c r="G29" s="24">
        <f>E29-D29</f>
        <v>2595.960000000001</v>
      </c>
    </row>
    <row r="30" spans="1:7" ht="12.75">
      <c r="A30" s="24" t="s">
        <v>39</v>
      </c>
      <c r="B30" s="24" t="s">
        <v>38</v>
      </c>
      <c r="C30" s="12">
        <v>18.21</v>
      </c>
      <c r="D30" s="24">
        <v>202200.89</v>
      </c>
      <c r="E30" s="24">
        <v>195379.97</v>
      </c>
      <c r="F30" s="24">
        <f>D30</f>
        <v>202200.89</v>
      </c>
      <c r="G30" s="24">
        <f>E30-D30</f>
        <v>-6820.920000000013</v>
      </c>
    </row>
    <row r="31" spans="1:7" ht="12.75">
      <c r="A31" s="24" t="s">
        <v>42</v>
      </c>
      <c r="B31" s="24" t="s">
        <v>40</v>
      </c>
      <c r="C31" s="12">
        <v>115.3</v>
      </c>
      <c r="D31" s="24">
        <v>350895.14</v>
      </c>
      <c r="E31" s="24">
        <v>322914.71</v>
      </c>
      <c r="F31" s="24">
        <f>D31</f>
        <v>350895.14</v>
      </c>
      <c r="G31" s="24">
        <f>E31-D31</f>
        <v>-27980.429999999993</v>
      </c>
    </row>
    <row r="32" spans="1:7" ht="12.75">
      <c r="A32" s="24" t="s">
        <v>41</v>
      </c>
      <c r="B32" s="24" t="s">
        <v>43</v>
      </c>
      <c r="C32" s="12">
        <v>1544.29</v>
      </c>
      <c r="D32" s="24">
        <v>591140.57</v>
      </c>
      <c r="E32" s="24">
        <v>558715.38</v>
      </c>
      <c r="F32" s="24">
        <f>D32</f>
        <v>591140.57</v>
      </c>
      <c r="G32" s="24">
        <f>E32-D32</f>
        <v>-32425.189999999944</v>
      </c>
    </row>
    <row r="33" spans="1:9" s="16" customFormat="1" ht="15" customHeight="1">
      <c r="A33" s="401" t="s">
        <v>97</v>
      </c>
      <c r="B33" s="402"/>
      <c r="C33" s="403"/>
      <c r="D33" s="15">
        <f aca="true" t="shared" si="1" ref="D33:I33">D18+D23+D24+D25+D28</f>
        <v>1391980.0699999998</v>
      </c>
      <c r="E33" s="15">
        <f t="shared" si="1"/>
        <v>1320742.33</v>
      </c>
      <c r="F33" s="15">
        <f t="shared" si="1"/>
        <v>1377729.9700000002</v>
      </c>
      <c r="G33" s="15">
        <f t="shared" si="1"/>
        <v>-71237.73999999996</v>
      </c>
      <c r="H33" s="15">
        <f t="shared" si="1"/>
        <v>6.75</v>
      </c>
      <c r="I33" s="15">
        <f t="shared" si="1"/>
        <v>0</v>
      </c>
    </row>
    <row r="34" spans="1:11" s="16" customFormat="1" ht="9.75" customHeight="1">
      <c r="A34" s="17"/>
      <c r="B34" s="17"/>
      <c r="C34" s="17"/>
      <c r="D34" s="18"/>
      <c r="E34" s="18"/>
      <c r="F34" s="18"/>
      <c r="G34" s="18"/>
      <c r="H34" s="18"/>
      <c r="I34" s="18"/>
      <c r="J34" s="18"/>
      <c r="K34" s="18"/>
    </row>
    <row r="35" spans="1:9" ht="23.25" customHeight="1">
      <c r="A35" s="395" t="s">
        <v>44</v>
      </c>
      <c r="B35" s="395"/>
      <c r="C35" s="395"/>
      <c r="D35" s="395"/>
      <c r="E35" s="395"/>
      <c r="F35" s="395"/>
      <c r="G35" s="395"/>
      <c r="H35" s="395"/>
      <c r="I35" s="395"/>
    </row>
    <row r="37" spans="1:7" s="14" customFormat="1" ht="28.5" customHeight="1">
      <c r="A37" s="5" t="s">
        <v>11</v>
      </c>
      <c r="B37" s="404" t="s">
        <v>45</v>
      </c>
      <c r="C37" s="405"/>
      <c r="D37" s="405"/>
      <c r="E37" s="406"/>
      <c r="F37" s="404" t="s">
        <v>46</v>
      </c>
      <c r="G37" s="400"/>
    </row>
    <row r="38" spans="1:7" s="16" customFormat="1" ht="13.5">
      <c r="A38" s="29" t="s">
        <v>47</v>
      </c>
      <c r="B38" s="396" t="s">
        <v>48</v>
      </c>
      <c r="C38" s="397"/>
      <c r="D38" s="397"/>
      <c r="E38" s="398"/>
      <c r="F38" s="399">
        <f>SUM(F39:G42)</f>
        <v>24581.67</v>
      </c>
      <c r="G38" s="400"/>
    </row>
    <row r="39" spans="1:7" ht="15.75" customHeight="1">
      <c r="A39" s="24" t="s">
        <v>16</v>
      </c>
      <c r="B39" s="409" t="s">
        <v>101</v>
      </c>
      <c r="C39" s="410"/>
      <c r="D39" s="410"/>
      <c r="E39" s="411"/>
      <c r="F39" s="412">
        <v>1007.78</v>
      </c>
      <c r="G39" s="412"/>
    </row>
    <row r="40" spans="1:7" ht="15.75" customHeight="1">
      <c r="A40" s="24" t="s">
        <v>18</v>
      </c>
      <c r="B40" s="409" t="s">
        <v>100</v>
      </c>
      <c r="C40" s="410"/>
      <c r="D40" s="410"/>
      <c r="E40" s="411"/>
      <c r="F40" s="412">
        <v>10480.41</v>
      </c>
      <c r="G40" s="412"/>
    </row>
    <row r="41" spans="1:7" ht="15.75" customHeight="1">
      <c r="A41" s="24" t="s">
        <v>20</v>
      </c>
      <c r="B41" s="409" t="s">
        <v>102</v>
      </c>
      <c r="C41" s="410"/>
      <c r="D41" s="410"/>
      <c r="E41" s="411"/>
      <c r="F41" s="412">
        <v>3847.63</v>
      </c>
      <c r="G41" s="412"/>
    </row>
    <row r="42" spans="1:7" ht="15.75" customHeight="1">
      <c r="A42" s="24" t="s">
        <v>22</v>
      </c>
      <c r="B42" s="409" t="s">
        <v>103</v>
      </c>
      <c r="C42" s="410"/>
      <c r="D42" s="410"/>
      <c r="E42" s="411"/>
      <c r="F42" s="412">
        <v>9245.85</v>
      </c>
      <c r="G42" s="412"/>
    </row>
    <row r="43" spans="2:5" ht="12.75">
      <c r="B43" s="9"/>
      <c r="C43" s="9"/>
      <c r="D43" s="9"/>
      <c r="E43" s="9"/>
    </row>
    <row r="44" spans="1:7" s="21" customFormat="1" ht="12.75">
      <c r="A44" s="21" t="s">
        <v>55</v>
      </c>
      <c r="E44" s="21" t="s">
        <v>49</v>
      </c>
      <c r="G44" s="21" t="s">
        <v>93</v>
      </c>
    </row>
    <row r="45" s="21" customFormat="1" ht="12.75"/>
    <row r="46" s="21" customFormat="1" ht="12.75">
      <c r="E46" s="22" t="s">
        <v>99</v>
      </c>
    </row>
    <row r="47" s="21" customFormat="1" ht="12.75">
      <c r="A47" s="21" t="s">
        <v>50</v>
      </c>
    </row>
    <row r="48" spans="3:8" s="21" customFormat="1" ht="12.75">
      <c r="C48" s="30" t="s">
        <v>51</v>
      </c>
      <c r="F48" s="30"/>
      <c r="G48" s="30"/>
      <c r="H48" s="30"/>
    </row>
    <row r="49" s="21" customFormat="1" ht="12.75"/>
    <row r="50" s="21" customFormat="1" ht="12.75"/>
  </sheetData>
  <sheetProtection/>
  <mergeCells count="21">
    <mergeCell ref="A1:I1"/>
    <mergeCell ref="A2:I2"/>
    <mergeCell ref="A3:I3"/>
    <mergeCell ref="A5:I5"/>
    <mergeCell ref="B37:E37"/>
    <mergeCell ref="A13:I13"/>
    <mergeCell ref="F38:G38"/>
    <mergeCell ref="A33:C33"/>
    <mergeCell ref="F37:G37"/>
    <mergeCell ref="A14:I14"/>
    <mergeCell ref="B38:E38"/>
    <mergeCell ref="A15:I15"/>
    <mergeCell ref="A35:I35"/>
    <mergeCell ref="B42:E42"/>
    <mergeCell ref="F42:G42"/>
    <mergeCell ref="B39:E39"/>
    <mergeCell ref="F39:G39"/>
    <mergeCell ref="B40:E40"/>
    <mergeCell ref="B41:E41"/>
    <mergeCell ref="F40:G40"/>
    <mergeCell ref="F41:G41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1:O59"/>
  <sheetViews>
    <sheetView zoomScalePageLayoutView="0" workbookViewId="0" topLeftCell="A26">
      <selection activeCell="G39" sqref="G39"/>
    </sheetView>
  </sheetViews>
  <sheetFormatPr defaultColWidth="9.140625" defaultRowHeight="15" outlineLevelCol="1"/>
  <cols>
    <col min="1" max="1" width="5.8515625" style="35" customWidth="1"/>
    <col min="2" max="2" width="48.140625" style="35" customWidth="1"/>
    <col min="3" max="3" width="14.57421875" style="35" customWidth="1"/>
    <col min="4" max="5" width="13.140625" style="35" customWidth="1"/>
    <col min="6" max="6" width="13.0039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1.28125" style="35" bestFit="1" customWidth="1" collapsed="1"/>
    <col min="14" max="14" width="11.421875" style="35" bestFit="1" customWidth="1"/>
    <col min="15" max="15" width="12.00390625" style="35" bestFit="1" customWidth="1"/>
    <col min="16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.7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7.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.7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2.25" customHeight="1"/>
    <row r="7" spans="1:6" s="71" customFormat="1" ht="16.5" customHeight="1">
      <c r="A7" s="71" t="s">
        <v>2</v>
      </c>
      <c r="F7" s="132" t="s">
        <v>108</v>
      </c>
    </row>
    <row r="8" spans="1:6" s="71" customFormat="1" ht="15">
      <c r="A8" s="71" t="s">
        <v>3</v>
      </c>
      <c r="F8" s="132" t="s">
        <v>421</v>
      </c>
    </row>
    <row r="9" s="71" customFormat="1" ht="3.75" customHeight="1"/>
    <row r="10" spans="1:9" s="71" customFormat="1" ht="12.75" customHeight="1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2.75" customHeight="1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2.75" customHeight="1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4">
        <v>44900.1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'[1]Ленина 68,8'!$G$38</f>
        <v>-46451.55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'[1]Ленина 68,8'!$G$39</f>
        <v>-243122.179</v>
      </c>
      <c r="H16" s="66"/>
      <c r="I16" s="66"/>
    </row>
    <row r="17" s="71" customFormat="1" ht="6.75" customHeight="1"/>
    <row r="18" spans="1:7" s="78" customFormat="1" ht="52.5" customHeight="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15" s="175" customFormat="1" ht="14.25">
      <c r="A19" s="79" t="s">
        <v>14</v>
      </c>
      <c r="B19" s="41" t="s">
        <v>15</v>
      </c>
      <c r="C19" s="141">
        <f>C20+C21+C22+C23</f>
        <v>9.969999999999999</v>
      </c>
      <c r="D19" s="80">
        <v>454313.45</v>
      </c>
      <c r="E19" s="80">
        <v>429735.13</v>
      </c>
      <c r="F19" s="80">
        <f aca="true" t="shared" si="0" ref="F19:F26">D19</f>
        <v>454313.45</v>
      </c>
      <c r="G19" s="81">
        <f>E19-D19</f>
        <v>-24578.320000000007</v>
      </c>
      <c r="H19" s="82">
        <f>C19</f>
        <v>9.969999999999999</v>
      </c>
      <c r="N19" s="174"/>
      <c r="O19" s="174"/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152197.28415245737</v>
      </c>
      <c r="E20" s="87">
        <f>E19*I20</f>
        <v>143963.42369107323</v>
      </c>
      <c r="F20" s="87">
        <f t="shared" si="0"/>
        <v>152197.28415245737</v>
      </c>
      <c r="G20" s="88">
        <f aca="true" t="shared" si="1" ref="G20:G28">E20-D20</f>
        <v>-8233.860461384145</v>
      </c>
      <c r="H20" s="82">
        <f>C20</f>
        <v>3.34</v>
      </c>
      <c r="I20" s="71">
        <f>H20/H19</f>
        <v>0.3350050150451354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74275.920110331</v>
      </c>
      <c r="E21" s="87">
        <f>E19*I21</f>
        <v>70257.59898696089</v>
      </c>
      <c r="F21" s="87">
        <f t="shared" si="0"/>
        <v>74275.920110331</v>
      </c>
      <c r="G21" s="88">
        <f t="shared" si="1"/>
        <v>-4018.321123370115</v>
      </c>
      <c r="H21" s="82">
        <f>C21</f>
        <v>1.63</v>
      </c>
      <c r="I21" s="71">
        <f>H21/H19</f>
        <v>0.16349047141424275</v>
      </c>
    </row>
    <row r="22" spans="1:9" s="71" customFormat="1" ht="15">
      <c r="A22" s="85" t="s">
        <v>20</v>
      </c>
      <c r="B22" s="34" t="s">
        <v>21</v>
      </c>
      <c r="C22" s="103">
        <v>2.07</v>
      </c>
      <c r="D22" s="87">
        <f>D19*I22</f>
        <v>94325.86173520563</v>
      </c>
      <c r="E22" s="87">
        <f>E19*I22</f>
        <v>89222.8404312939</v>
      </c>
      <c r="F22" s="87">
        <f t="shared" si="0"/>
        <v>94325.86173520563</v>
      </c>
      <c r="G22" s="88">
        <f t="shared" si="1"/>
        <v>-5103.021303911737</v>
      </c>
      <c r="H22" s="82">
        <f>C22</f>
        <v>2.07</v>
      </c>
      <c r="I22" s="71">
        <f>H22/H19</f>
        <v>0.20762286860581747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133514.38400200603</v>
      </c>
      <c r="E23" s="87">
        <f>E19*I23</f>
        <v>126291.26689067204</v>
      </c>
      <c r="F23" s="87">
        <f t="shared" si="0"/>
        <v>133514.38400200603</v>
      </c>
      <c r="G23" s="88">
        <f t="shared" si="1"/>
        <v>-7223.117111333995</v>
      </c>
      <c r="H23" s="82">
        <f>C23</f>
        <v>2.93</v>
      </c>
      <c r="I23" s="71">
        <f>H23/H19</f>
        <v>0.29388164493480445</v>
      </c>
    </row>
    <row r="24" spans="1:7" s="39" customFormat="1" ht="14.25">
      <c r="A24" s="41" t="s">
        <v>25</v>
      </c>
      <c r="B24" s="41" t="s">
        <v>26</v>
      </c>
      <c r="C24" s="147">
        <v>3.72</v>
      </c>
      <c r="D24" s="81">
        <v>164411.04</v>
      </c>
      <c r="E24" s="81">
        <v>160650.06</v>
      </c>
      <c r="F24" s="80">
        <f t="shared" si="0"/>
        <v>164411.04</v>
      </c>
      <c r="G24" s="81">
        <f t="shared" si="1"/>
        <v>-3760.9800000000105</v>
      </c>
    </row>
    <row r="25" spans="1:7" s="39" customFormat="1" ht="14.25">
      <c r="A25" s="41" t="s">
        <v>27</v>
      </c>
      <c r="B25" s="41" t="s">
        <v>28</v>
      </c>
      <c r="C25" s="147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7" s="39" customFormat="1" ht="14.25">
      <c r="A26" s="41" t="s">
        <v>29</v>
      </c>
      <c r="B26" s="41" t="s">
        <v>30</v>
      </c>
      <c r="C26" s="147">
        <v>1.08</v>
      </c>
      <c r="D26" s="81">
        <v>47729.76</v>
      </c>
      <c r="E26" s="81">
        <v>46551.54</v>
      </c>
      <c r="F26" s="81">
        <f t="shared" si="0"/>
        <v>47729.76</v>
      </c>
      <c r="G26" s="81">
        <f t="shared" si="1"/>
        <v>-1178.2200000000012</v>
      </c>
    </row>
    <row r="27" spans="1:13" s="39" customFormat="1" ht="14.25">
      <c r="A27" s="41" t="s">
        <v>31</v>
      </c>
      <c r="B27" s="41" t="s">
        <v>562</v>
      </c>
      <c r="C27" s="147">
        <v>1.99</v>
      </c>
      <c r="D27" s="81">
        <v>87951.48</v>
      </c>
      <c r="E27" s="81">
        <v>85910.93</v>
      </c>
      <c r="F27" s="91">
        <f>F44</f>
        <v>39570.1093</v>
      </c>
      <c r="G27" s="81">
        <f t="shared" si="1"/>
        <v>-2040.550000000003</v>
      </c>
      <c r="M27" s="193"/>
    </row>
    <row r="28" spans="1:13" s="39" customFormat="1" ht="14.25">
      <c r="A28" s="227" t="s">
        <v>225</v>
      </c>
      <c r="B28" s="90" t="s">
        <v>170</v>
      </c>
      <c r="C28" s="141" t="s">
        <v>314</v>
      </c>
      <c r="D28" s="81"/>
      <c r="E28" s="81"/>
      <c r="F28" s="91">
        <f>D28</f>
        <v>0</v>
      </c>
      <c r="G28" s="81">
        <f t="shared" si="1"/>
        <v>0</v>
      </c>
      <c r="M28" s="193"/>
    </row>
    <row r="29" spans="1:7" s="39" customFormat="1" ht="14.25">
      <c r="A29" s="41" t="s">
        <v>35</v>
      </c>
      <c r="B29" s="90" t="s">
        <v>561</v>
      </c>
      <c r="C29" s="214">
        <v>7.35</v>
      </c>
      <c r="D29" s="81">
        <v>100731.2</v>
      </c>
      <c r="E29" s="81">
        <v>100593.36</v>
      </c>
      <c r="F29" s="94">
        <v>0</v>
      </c>
      <c r="G29" s="81">
        <f>E29-D29</f>
        <v>-137.8399999999965</v>
      </c>
    </row>
    <row r="30" spans="1:7" s="39" customFormat="1" ht="14.25">
      <c r="A30" s="227" t="s">
        <v>230</v>
      </c>
      <c r="B30" s="41" t="s">
        <v>36</v>
      </c>
      <c r="C30" s="141"/>
      <c r="D30" s="81">
        <f>SUM(D31:D34)</f>
        <v>1541286.03</v>
      </c>
      <c r="E30" s="81">
        <f>SUM(E31:E34)</f>
        <v>1515307.38</v>
      </c>
      <c r="F30" s="81">
        <f>SUM(F31:F34)</f>
        <v>1541286.03</v>
      </c>
      <c r="G30" s="81">
        <f>SUM(G31:G34)</f>
        <v>-25978.650000000078</v>
      </c>
    </row>
    <row r="31" spans="1:7" ht="15">
      <c r="A31" s="228" t="s">
        <v>232</v>
      </c>
      <c r="B31" s="34" t="s">
        <v>96</v>
      </c>
      <c r="C31" s="103" t="s">
        <v>408</v>
      </c>
      <c r="D31" s="88">
        <v>32760.68</v>
      </c>
      <c r="E31" s="88">
        <v>32103.55</v>
      </c>
      <c r="F31" s="88">
        <f>D31</f>
        <v>32760.68</v>
      </c>
      <c r="G31" s="88">
        <f>E31-D31</f>
        <v>-657.130000000001</v>
      </c>
    </row>
    <row r="32" spans="1:7" ht="15">
      <c r="A32" s="228" t="s">
        <v>233</v>
      </c>
      <c r="B32" s="34" t="s">
        <v>142</v>
      </c>
      <c r="C32" s="103" t="s">
        <v>324</v>
      </c>
      <c r="D32" s="88">
        <v>308027.45</v>
      </c>
      <c r="E32" s="88">
        <v>308890.22</v>
      </c>
      <c r="F32" s="88">
        <f>D32</f>
        <v>308027.45</v>
      </c>
      <c r="G32" s="88">
        <f>E32-D32</f>
        <v>862.7699999999604</v>
      </c>
    </row>
    <row r="33" spans="1:7" ht="15">
      <c r="A33" s="228" t="s">
        <v>234</v>
      </c>
      <c r="B33" s="34" t="s">
        <v>143</v>
      </c>
      <c r="C33" s="149" t="s">
        <v>382</v>
      </c>
      <c r="D33" s="88">
        <v>407322.52</v>
      </c>
      <c r="E33" s="88">
        <v>399386.86</v>
      </c>
      <c r="F33" s="88">
        <f>D33</f>
        <v>407322.52</v>
      </c>
      <c r="G33" s="88">
        <f>E33-D33</f>
        <v>-7935.660000000033</v>
      </c>
    </row>
    <row r="34" spans="1:7" ht="15">
      <c r="A34" s="228" t="s">
        <v>235</v>
      </c>
      <c r="B34" s="34" t="s">
        <v>43</v>
      </c>
      <c r="C34" s="103" t="s">
        <v>383</v>
      </c>
      <c r="D34" s="88">
        <v>793175.38</v>
      </c>
      <c r="E34" s="88">
        <v>774926.75</v>
      </c>
      <c r="F34" s="88">
        <f>D34</f>
        <v>793175.38</v>
      </c>
      <c r="G34" s="88">
        <f>E34-D34</f>
        <v>-18248.630000000005</v>
      </c>
    </row>
    <row r="35" spans="1:10" s="106" customFormat="1" ht="3.75" customHeight="1" thickBot="1">
      <c r="A35" s="108"/>
      <c r="B35" s="108"/>
      <c r="C35" s="108"/>
      <c r="D35" s="105"/>
      <c r="E35" s="105"/>
      <c r="F35" s="105"/>
      <c r="G35" s="105"/>
      <c r="H35" s="105"/>
      <c r="I35" s="105"/>
      <c r="J35" s="105"/>
    </row>
    <row r="36" spans="1:9" s="71" customFormat="1" ht="15.75" thickBot="1">
      <c r="A36" s="319" t="s">
        <v>420</v>
      </c>
      <c r="B36" s="320"/>
      <c r="C36" s="320"/>
      <c r="D36" s="69">
        <f>D13+D19+D24+D25+D26+D27+D28+D29+D30-E19-E24-E25-E26-E27-E28-E29-E30</f>
        <v>102574.66000000015</v>
      </c>
      <c r="E36" s="70"/>
      <c r="F36" s="70"/>
      <c r="G36" s="70"/>
      <c r="H36" s="66"/>
      <c r="I36" s="66"/>
    </row>
    <row r="37" spans="1:9" s="71" customFormat="1" ht="4.5" customHeight="1" thickBot="1">
      <c r="A37" s="72"/>
      <c r="B37" s="72"/>
      <c r="C37" s="72"/>
      <c r="D37" s="40"/>
      <c r="E37" s="70"/>
      <c r="F37" s="70"/>
      <c r="G37" s="70"/>
      <c r="H37" s="66"/>
      <c r="I37" s="66"/>
    </row>
    <row r="38" spans="1:9" s="71" customFormat="1" ht="15.75" thickBot="1">
      <c r="A38" s="67" t="s">
        <v>557</v>
      </c>
      <c r="B38" s="68"/>
      <c r="C38" s="68"/>
      <c r="D38" s="73"/>
      <c r="E38" s="74"/>
      <c r="F38" s="74"/>
      <c r="G38" s="151">
        <v>-3318.67</v>
      </c>
      <c r="H38" s="66"/>
      <c r="I38" s="66"/>
    </row>
    <row r="39" spans="1:13" s="71" customFormat="1" ht="15.75" thickBot="1">
      <c r="A39" s="67" t="s">
        <v>558</v>
      </c>
      <c r="B39" s="68"/>
      <c r="C39" s="68"/>
      <c r="D39" s="73"/>
      <c r="E39" s="74"/>
      <c r="F39" s="74"/>
      <c r="G39" s="151">
        <f>G16+E27-F27+E29-F29</f>
        <v>-96187.99830000002</v>
      </c>
      <c r="H39" s="66"/>
      <c r="I39" s="66"/>
      <c r="M39" s="152"/>
    </row>
    <row r="40" spans="1:9" s="71" customFormat="1" ht="15">
      <c r="A40" s="72"/>
      <c r="B40" s="72"/>
      <c r="C40" s="72"/>
      <c r="D40" s="40"/>
      <c r="E40" s="70"/>
      <c r="F40" s="70"/>
      <c r="G40" s="40"/>
      <c r="H40" s="66"/>
      <c r="I40" s="66"/>
    </row>
    <row r="41" spans="1:9" ht="27.75" customHeight="1">
      <c r="A41" s="372" t="s">
        <v>44</v>
      </c>
      <c r="B41" s="372"/>
      <c r="C41" s="372"/>
      <c r="D41" s="372"/>
      <c r="E41" s="372"/>
      <c r="F41" s="372"/>
      <c r="G41" s="372"/>
      <c r="H41" s="372"/>
      <c r="I41" s="372"/>
    </row>
    <row r="42" ht="3" customHeight="1"/>
    <row r="43" spans="1:7" s="179" customFormat="1" ht="28.5" customHeight="1">
      <c r="A43" s="109" t="s">
        <v>11</v>
      </c>
      <c r="B43" s="340" t="s">
        <v>45</v>
      </c>
      <c r="C43" s="352"/>
      <c r="D43" s="109" t="s">
        <v>172</v>
      </c>
      <c r="E43" s="109" t="s">
        <v>171</v>
      </c>
      <c r="F43" s="340" t="s">
        <v>46</v>
      </c>
      <c r="G43" s="352"/>
    </row>
    <row r="44" spans="1:7" s="119" customFormat="1" ht="12.75" customHeight="1">
      <c r="A44" s="113" t="s">
        <v>47</v>
      </c>
      <c r="B44" s="342" t="s">
        <v>114</v>
      </c>
      <c r="C44" s="345"/>
      <c r="D44" s="115"/>
      <c r="E44" s="115"/>
      <c r="F44" s="356">
        <f>SUM(F45:L52)</f>
        <v>39570.1093</v>
      </c>
      <c r="G44" s="351"/>
    </row>
    <row r="45" spans="1:7" ht="12.75" customHeight="1">
      <c r="A45" s="34" t="s">
        <v>16</v>
      </c>
      <c r="B45" s="325" t="s">
        <v>416</v>
      </c>
      <c r="C45" s="327"/>
      <c r="D45" s="123" t="s">
        <v>173</v>
      </c>
      <c r="E45" s="123">
        <v>1</v>
      </c>
      <c r="F45" s="366">
        <v>1150</v>
      </c>
      <c r="G45" s="367"/>
    </row>
    <row r="46" spans="1:7" ht="12.75" customHeight="1">
      <c r="A46" s="34" t="s">
        <v>18</v>
      </c>
      <c r="B46" s="325" t="s">
        <v>417</v>
      </c>
      <c r="C46" s="327"/>
      <c r="D46" s="123" t="s">
        <v>177</v>
      </c>
      <c r="E46" s="123">
        <v>500</v>
      </c>
      <c r="F46" s="355">
        <v>5130</v>
      </c>
      <c r="G46" s="355"/>
    </row>
    <row r="47" spans="1:7" ht="12.75" customHeight="1">
      <c r="A47" s="34" t="s">
        <v>20</v>
      </c>
      <c r="B47" s="325" t="s">
        <v>418</v>
      </c>
      <c r="C47" s="327"/>
      <c r="D47" s="123" t="s">
        <v>265</v>
      </c>
      <c r="E47" s="126">
        <v>0.015</v>
      </c>
      <c r="F47" s="366">
        <v>2396</v>
      </c>
      <c r="G47" s="367"/>
    </row>
    <row r="48" spans="1:7" ht="12.75" customHeight="1">
      <c r="A48" s="34" t="s">
        <v>22</v>
      </c>
      <c r="B48" s="325" t="s">
        <v>403</v>
      </c>
      <c r="C48" s="327"/>
      <c r="D48" s="123" t="s">
        <v>404</v>
      </c>
      <c r="E48" s="123">
        <v>4</v>
      </c>
      <c r="F48" s="366">
        <v>8000</v>
      </c>
      <c r="G48" s="367"/>
    </row>
    <row r="49" spans="1:7" ht="12.75" customHeight="1">
      <c r="A49" s="34" t="s">
        <v>24</v>
      </c>
      <c r="B49" s="325" t="s">
        <v>628</v>
      </c>
      <c r="C49" s="327"/>
      <c r="D49" s="123" t="s">
        <v>352</v>
      </c>
      <c r="E49" s="126">
        <v>0.202</v>
      </c>
      <c r="F49" s="366">
        <v>6099</v>
      </c>
      <c r="G49" s="367"/>
    </row>
    <row r="50" spans="1:7" ht="12.75" customHeight="1">
      <c r="A50" s="34" t="s">
        <v>106</v>
      </c>
      <c r="B50" s="325" t="s">
        <v>663</v>
      </c>
      <c r="C50" s="350"/>
      <c r="D50" s="123"/>
      <c r="E50" s="159" t="s">
        <v>286</v>
      </c>
      <c r="F50" s="344">
        <v>9520</v>
      </c>
      <c r="G50" s="344"/>
    </row>
    <row r="51" spans="1:7" ht="12.75" customHeight="1">
      <c r="A51" s="34" t="s">
        <v>107</v>
      </c>
      <c r="B51" s="325" t="s">
        <v>784</v>
      </c>
      <c r="C51" s="350"/>
      <c r="D51" s="123"/>
      <c r="E51" s="159"/>
      <c r="F51" s="344">
        <f>5208+1208</f>
        <v>6416</v>
      </c>
      <c r="G51" s="344"/>
    </row>
    <row r="52" spans="1:7" ht="12.75" customHeight="1">
      <c r="A52" s="34" t="s">
        <v>120</v>
      </c>
      <c r="B52" s="155" t="s">
        <v>207</v>
      </c>
      <c r="C52" s="156"/>
      <c r="D52" s="123"/>
      <c r="E52" s="123"/>
      <c r="F52" s="355">
        <f>E27*1%</f>
        <v>859.1093</v>
      </c>
      <c r="G52" s="355"/>
    </row>
    <row r="53" spans="1:7" ht="12.75" customHeight="1">
      <c r="A53" s="71"/>
      <c r="B53" s="71"/>
      <c r="C53" s="71"/>
      <c r="D53" s="71"/>
      <c r="E53" s="71"/>
      <c r="F53" s="71"/>
      <c r="G53" s="71"/>
    </row>
    <row r="54" spans="1:7" ht="12.75" customHeight="1">
      <c r="A54" s="71" t="s">
        <v>55</v>
      </c>
      <c r="B54" s="71"/>
      <c r="C54" s="71" t="s">
        <v>49</v>
      </c>
      <c r="D54" s="71"/>
      <c r="E54" s="71"/>
      <c r="F54" s="71" t="s">
        <v>93</v>
      </c>
      <c r="G54" s="71"/>
    </row>
    <row r="55" spans="1:7" ht="12.75" customHeight="1">
      <c r="A55" s="71"/>
      <c r="B55" s="71"/>
      <c r="C55" s="71"/>
      <c r="D55" s="71"/>
      <c r="E55" s="71"/>
      <c r="F55" s="132" t="s">
        <v>296</v>
      </c>
      <c r="G55" s="71"/>
    </row>
    <row r="56" s="71" customFormat="1" ht="15">
      <c r="A56" s="71" t="s">
        <v>50</v>
      </c>
    </row>
    <row r="57" spans="3:7" s="71" customFormat="1" ht="15">
      <c r="C57" s="134" t="s">
        <v>51</v>
      </c>
      <c r="E57" s="134"/>
      <c r="F57" s="134"/>
      <c r="G57" s="134"/>
    </row>
    <row r="58" spans="1:7" ht="15">
      <c r="A58" s="71"/>
      <c r="B58" s="71"/>
      <c r="C58" s="71"/>
      <c r="D58" s="71"/>
      <c r="E58" s="71"/>
      <c r="F58" s="71"/>
      <c r="G58" s="71"/>
    </row>
    <row r="59" spans="1:7" ht="15">
      <c r="A59" s="71"/>
      <c r="B59" s="71"/>
      <c r="C59" s="71"/>
      <c r="D59" s="71"/>
      <c r="E59" s="71"/>
      <c r="F59" s="71"/>
      <c r="G59" s="71"/>
    </row>
  </sheetData>
  <sheetProtection/>
  <mergeCells count="29">
    <mergeCell ref="F52:G52"/>
    <mergeCell ref="F47:G47"/>
    <mergeCell ref="B46:C46"/>
    <mergeCell ref="B47:C47"/>
    <mergeCell ref="B48:C48"/>
    <mergeCell ref="B49:C49"/>
    <mergeCell ref="F48:G48"/>
    <mergeCell ref="F49:G49"/>
    <mergeCell ref="F46:G46"/>
    <mergeCell ref="B50:C50"/>
    <mergeCell ref="F45:G45"/>
    <mergeCell ref="A1:I1"/>
    <mergeCell ref="A2:I2"/>
    <mergeCell ref="A5:I5"/>
    <mergeCell ref="A10:I10"/>
    <mergeCell ref="A11:I11"/>
    <mergeCell ref="B43:C43"/>
    <mergeCell ref="F43:G43"/>
    <mergeCell ref="A3:K3"/>
    <mergeCell ref="B51:C51"/>
    <mergeCell ref="F51:G51"/>
    <mergeCell ref="F50:G50"/>
    <mergeCell ref="A12:I12"/>
    <mergeCell ref="A41:I41"/>
    <mergeCell ref="A13:C13"/>
    <mergeCell ref="A36:C36"/>
    <mergeCell ref="B44:C44"/>
    <mergeCell ref="B45:C45"/>
    <mergeCell ref="F44:G44"/>
  </mergeCells>
  <printOptions/>
  <pageMargins left="0" right="0" top="0" bottom="0" header="0.31496062992125984" footer="0.3149606299212598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PageLayoutView="0" workbookViewId="0" topLeftCell="A28">
      <selection activeCell="G37" sqref="G37"/>
    </sheetView>
  </sheetViews>
  <sheetFormatPr defaultColWidth="9.140625" defaultRowHeight="15" outlineLevelCol="1"/>
  <cols>
    <col min="1" max="1" width="5.57421875" style="35" customWidth="1"/>
    <col min="2" max="2" width="40.28125" style="35" bestFit="1" customWidth="1"/>
    <col min="3" max="3" width="13.7109375" style="35" customWidth="1"/>
    <col min="4" max="4" width="13.421875" style="35" customWidth="1"/>
    <col min="5" max="5" width="13.00390625" style="35" customWidth="1"/>
    <col min="6" max="6" width="12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6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18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6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6" s="71" customFormat="1" ht="16.5" customHeight="1">
      <c r="A7" s="71" t="s">
        <v>2</v>
      </c>
      <c r="F7" s="132" t="s">
        <v>123</v>
      </c>
    </row>
    <row r="8" spans="1:9" s="71" customFormat="1" ht="15">
      <c r="A8" s="71" t="s">
        <v>3</v>
      </c>
      <c r="F8" s="132" t="s">
        <v>585</v>
      </c>
      <c r="I8" s="213" t="s">
        <v>584</v>
      </c>
    </row>
    <row r="9" s="71" customFormat="1" ht="15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19738.51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309">
        <v>0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309">
        <f>'[1]Пионерская 1318'!$G$36/64*14</f>
        <v>-4124.043175000001</v>
      </c>
      <c r="H16" s="66"/>
      <c r="I16" s="66"/>
    </row>
    <row r="17" s="71" customFormat="1" ht="8.25" customHeight="1"/>
    <row r="18" spans="1:8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  <c r="H18" s="76"/>
    </row>
    <row r="19" spans="1:8" s="175" customFormat="1" ht="14.25">
      <c r="A19" s="79" t="s">
        <v>14</v>
      </c>
      <c r="B19" s="140" t="s">
        <v>15</v>
      </c>
      <c r="C19" s="141">
        <f>C20+C21+C22+C23</f>
        <v>9.53</v>
      </c>
      <c r="D19" s="80">
        <v>102741.24</v>
      </c>
      <c r="E19" s="80">
        <v>102787.23</v>
      </c>
      <c r="F19" s="80">
        <f>D19</f>
        <v>102741.24</v>
      </c>
      <c r="G19" s="81">
        <f aca="true" t="shared" si="0" ref="G19:G27">D19-E19</f>
        <v>-45.98999999999069</v>
      </c>
      <c r="H19" s="174">
        <f>C19</f>
        <v>9.53</v>
      </c>
    </row>
    <row r="20" spans="1:9" s="71" customFormat="1" ht="15">
      <c r="A20" s="85" t="s">
        <v>16</v>
      </c>
      <c r="B20" s="145" t="s">
        <v>17</v>
      </c>
      <c r="C20" s="103">
        <v>3.34</v>
      </c>
      <c r="D20" s="87">
        <f>D19*I20</f>
        <v>36007.947701993704</v>
      </c>
      <c r="E20" s="87">
        <f>E19*I20</f>
        <v>36024.065918153196</v>
      </c>
      <c r="F20" s="87">
        <f>D20</f>
        <v>36007.947701993704</v>
      </c>
      <c r="G20" s="88">
        <f t="shared" si="0"/>
        <v>-16.118216159491567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145" t="s">
        <v>19</v>
      </c>
      <c r="C21" s="103">
        <v>1.63</v>
      </c>
      <c r="D21" s="87">
        <f>D19*I21</f>
        <v>17572.74094438615</v>
      </c>
      <c r="E21" s="87">
        <f>E19*I21</f>
        <v>17580.60701993704</v>
      </c>
      <c r="F21" s="87">
        <f>D21</f>
        <v>17572.74094438615</v>
      </c>
      <c r="G21" s="88">
        <f t="shared" si="0"/>
        <v>-7.866075550889946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145" t="s">
        <v>21</v>
      </c>
      <c r="C22" s="103">
        <v>1.63</v>
      </c>
      <c r="D22" s="87">
        <f>D19*I22</f>
        <v>17572.74094438615</v>
      </c>
      <c r="E22" s="87">
        <f>E19*I22</f>
        <v>17580.60701993704</v>
      </c>
      <c r="F22" s="87">
        <f>D22</f>
        <v>17572.74094438615</v>
      </c>
      <c r="G22" s="88">
        <f t="shared" si="0"/>
        <v>-7.866075550889946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145" t="s">
        <v>23</v>
      </c>
      <c r="C23" s="103">
        <v>2.93</v>
      </c>
      <c r="D23" s="87">
        <f>D19*I23</f>
        <v>31587.810409234004</v>
      </c>
      <c r="E23" s="87">
        <f>E19*I23</f>
        <v>31601.950041972723</v>
      </c>
      <c r="F23" s="87">
        <f>D23</f>
        <v>31587.810409234004</v>
      </c>
      <c r="G23" s="88">
        <f t="shared" si="0"/>
        <v>-14.139632738719229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28</v>
      </c>
      <c r="C24" s="147">
        <v>0</v>
      </c>
      <c r="D24" s="81">
        <v>0</v>
      </c>
      <c r="E24" s="81">
        <v>0</v>
      </c>
      <c r="F24" s="81"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170</v>
      </c>
      <c r="C25" s="147">
        <v>0</v>
      </c>
      <c r="D25" s="81">
        <v>0</v>
      </c>
      <c r="E25" s="81">
        <v>0</v>
      </c>
      <c r="F25" s="81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119</v>
      </c>
      <c r="C26" s="147">
        <v>1.8</v>
      </c>
      <c r="D26" s="81">
        <v>19405.44</v>
      </c>
      <c r="E26" s="81">
        <v>19433.64</v>
      </c>
      <c r="F26" s="91">
        <f>F42</f>
        <v>9488.1489</v>
      </c>
      <c r="G26" s="81">
        <f t="shared" si="0"/>
        <v>-28.200000000000728</v>
      </c>
    </row>
    <row r="27" spans="1:7" s="39" customFormat="1" ht="14.25">
      <c r="A27" s="41" t="s">
        <v>224</v>
      </c>
      <c r="B27" s="140" t="s">
        <v>34</v>
      </c>
      <c r="C27" s="141">
        <v>0</v>
      </c>
      <c r="D27" s="81">
        <v>0</v>
      </c>
      <c r="E27" s="81">
        <v>0</v>
      </c>
      <c r="F27" s="91">
        <f>D27</f>
        <v>0</v>
      </c>
      <c r="G27" s="81">
        <f t="shared" si="0"/>
        <v>0</v>
      </c>
    </row>
    <row r="28" spans="1:7" s="39" customFormat="1" ht="14.25">
      <c r="A28" s="41" t="s">
        <v>225</v>
      </c>
      <c r="B28" s="140" t="s">
        <v>36</v>
      </c>
      <c r="C28" s="141"/>
      <c r="D28" s="81">
        <f>SUM(D29:D32)</f>
        <v>401656.2</v>
      </c>
      <c r="E28" s="81">
        <f>SUM(E29:E32)</f>
        <v>404565.85</v>
      </c>
      <c r="F28" s="81">
        <f>SUM(F29:F32)</f>
        <v>401656.2</v>
      </c>
      <c r="G28" s="81">
        <f>SUM(G29:G32)</f>
        <v>-2909.6499999999833</v>
      </c>
    </row>
    <row r="29" spans="1:7" ht="15">
      <c r="A29" s="34" t="s">
        <v>226</v>
      </c>
      <c r="B29" s="34" t="s">
        <v>174</v>
      </c>
      <c r="C29" s="103" t="s">
        <v>408</v>
      </c>
      <c r="D29" s="88">
        <v>22676.14</v>
      </c>
      <c r="E29" s="88">
        <v>21761.48</v>
      </c>
      <c r="F29" s="187">
        <f>D29</f>
        <v>22676.14</v>
      </c>
      <c r="G29" s="88">
        <f>D29-E29</f>
        <v>914.6599999999999</v>
      </c>
    </row>
    <row r="30" spans="1:7" ht="15">
      <c r="A30" s="34" t="s">
        <v>227</v>
      </c>
      <c r="B30" s="34" t="s">
        <v>142</v>
      </c>
      <c r="C30" s="103" t="s">
        <v>324</v>
      </c>
      <c r="D30" s="88">
        <v>73701.5</v>
      </c>
      <c r="E30" s="88">
        <v>75125.08</v>
      </c>
      <c r="F30" s="187">
        <f>D30</f>
        <v>73701.5</v>
      </c>
      <c r="G30" s="88">
        <f>D30-E30</f>
        <v>-1423.5800000000017</v>
      </c>
    </row>
    <row r="31" spans="1:7" ht="15">
      <c r="A31" s="34" t="s">
        <v>228</v>
      </c>
      <c r="B31" s="34" t="s">
        <v>40</v>
      </c>
      <c r="C31" s="149">
        <v>0</v>
      </c>
      <c r="D31" s="88">
        <v>0</v>
      </c>
      <c r="E31" s="88">
        <v>0</v>
      </c>
      <c r="F31" s="187">
        <f>D31</f>
        <v>0</v>
      </c>
      <c r="G31" s="88">
        <f>D31-E31</f>
        <v>0</v>
      </c>
    </row>
    <row r="32" spans="1:7" ht="15">
      <c r="A32" s="34" t="s">
        <v>229</v>
      </c>
      <c r="B32" s="34" t="s">
        <v>43</v>
      </c>
      <c r="C32" s="103" t="s">
        <v>383</v>
      </c>
      <c r="D32" s="88">
        <v>305278.56</v>
      </c>
      <c r="E32" s="88">
        <v>307679.29</v>
      </c>
      <c r="F32" s="187">
        <f>D32</f>
        <v>305278.56</v>
      </c>
      <c r="G32" s="88">
        <f>D32-E32</f>
        <v>-2400.7299999999814</v>
      </c>
    </row>
    <row r="33" spans="1:7" ht="15.75" thickBot="1">
      <c r="A33" s="41" t="s">
        <v>35</v>
      </c>
      <c r="B33" s="204" t="s">
        <v>641</v>
      </c>
      <c r="C33" s="103"/>
      <c r="D33" s="88">
        <v>3806</v>
      </c>
      <c r="E33" s="88">
        <v>3340</v>
      </c>
      <c r="F33" s="187">
        <f>D33</f>
        <v>3806</v>
      </c>
      <c r="G33" s="88">
        <f>D33-E33</f>
        <v>466</v>
      </c>
    </row>
    <row r="34" spans="1:9" s="71" customFormat="1" ht="15.75" thickBot="1">
      <c r="A34" s="319" t="s">
        <v>420</v>
      </c>
      <c r="B34" s="320"/>
      <c r="C34" s="320"/>
      <c r="D34" s="69">
        <f>D13+D19+D24+D25+D26+D27+D28-E19-E24-E25-E26-E27-E28</f>
        <v>16754.670000000042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309">
        <f>G15+E27-F27</f>
        <v>0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309">
        <f>G16+E26-F26</f>
        <v>5821.447924999999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ht="33.75" customHeight="1">
      <c r="A39" s="321" t="s">
        <v>44</v>
      </c>
      <c r="B39" s="349"/>
      <c r="C39" s="349"/>
      <c r="D39" s="349"/>
      <c r="E39" s="349"/>
      <c r="F39" s="349"/>
      <c r="G39" s="349"/>
      <c r="H39" s="62"/>
      <c r="I39" s="62"/>
    </row>
    <row r="41" spans="1:7" s="179" customFormat="1" ht="28.5" customHeight="1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1"/>
    </row>
    <row r="42" spans="1:7" s="119" customFormat="1" ht="15" customHeight="1">
      <c r="A42" s="113" t="s">
        <v>47</v>
      </c>
      <c r="B42" s="342" t="s">
        <v>114</v>
      </c>
      <c r="C42" s="345"/>
      <c r="D42" s="310"/>
      <c r="E42" s="310"/>
      <c r="F42" s="353">
        <f>SUM(F43:G45)</f>
        <v>9488.1489</v>
      </c>
      <c r="G42" s="354"/>
    </row>
    <row r="43" spans="1:7" ht="27" customHeight="1">
      <c r="A43" s="34" t="s">
        <v>16</v>
      </c>
      <c r="B43" s="325" t="s">
        <v>663</v>
      </c>
      <c r="C43" s="350"/>
      <c r="D43" s="123"/>
      <c r="E43" s="159" t="s">
        <v>286</v>
      </c>
      <c r="F43" s="344">
        <v>7000</v>
      </c>
      <c r="G43" s="344"/>
    </row>
    <row r="44" spans="1:7" ht="27" customHeight="1">
      <c r="A44" s="34" t="s">
        <v>18</v>
      </c>
      <c r="B44" s="325" t="s">
        <v>628</v>
      </c>
      <c r="C44" s="327"/>
      <c r="D44" s="123" t="s">
        <v>352</v>
      </c>
      <c r="E44" s="126">
        <f>0.065/64*14</f>
        <v>0.01421875</v>
      </c>
      <c r="F44" s="344">
        <f>10486/64*14</f>
        <v>2293.8125</v>
      </c>
      <c r="G44" s="344"/>
    </row>
    <row r="45" spans="1:7" ht="15.75" customHeight="1">
      <c r="A45" s="34" t="s">
        <v>20</v>
      </c>
      <c r="B45" s="331" t="s">
        <v>207</v>
      </c>
      <c r="C45" s="346"/>
      <c r="D45" s="311"/>
      <c r="E45" s="311"/>
      <c r="F45" s="344">
        <f>E26*1%</f>
        <v>194.3364</v>
      </c>
      <c r="G45" s="344"/>
    </row>
    <row r="46" spans="2:5" ht="15">
      <c r="B46" s="162"/>
      <c r="C46" s="162"/>
      <c r="D46" s="162"/>
      <c r="E46" s="162"/>
    </row>
    <row r="47" spans="1:6" s="71" customFormat="1" ht="15">
      <c r="A47" s="71" t="s">
        <v>55</v>
      </c>
      <c r="C47" s="71" t="s">
        <v>49</v>
      </c>
      <c r="F47" s="71" t="s">
        <v>93</v>
      </c>
    </row>
    <row r="48" s="71" customFormat="1" ht="15">
      <c r="F48" s="132" t="s">
        <v>331</v>
      </c>
    </row>
    <row r="49" s="71" customFormat="1" ht="15">
      <c r="A49" s="71" t="s">
        <v>50</v>
      </c>
    </row>
    <row r="50" spans="3:7" s="71" customFormat="1" ht="15">
      <c r="C50" s="134" t="s">
        <v>51</v>
      </c>
      <c r="E50" s="134"/>
      <c r="F50" s="134"/>
      <c r="G50" s="134"/>
    </row>
    <row r="51" s="71" customFormat="1" ht="15"/>
    <row r="52" s="71" customFormat="1" ht="15"/>
  </sheetData>
  <sheetProtection/>
  <mergeCells count="20">
    <mergeCell ref="B45:C45"/>
    <mergeCell ref="F45:G45"/>
    <mergeCell ref="B42:C42"/>
    <mergeCell ref="F42:G42"/>
    <mergeCell ref="B43:C43"/>
    <mergeCell ref="F43:G43"/>
    <mergeCell ref="B44:C44"/>
    <mergeCell ref="F44:G44"/>
    <mergeCell ref="A12:I12"/>
    <mergeCell ref="A13:C13"/>
    <mergeCell ref="A34:C34"/>
    <mergeCell ref="A39:G39"/>
    <mergeCell ref="B41:C41"/>
    <mergeCell ref="F41:G41"/>
    <mergeCell ref="A1:I1"/>
    <mergeCell ref="A2:I2"/>
    <mergeCell ref="A3:K3"/>
    <mergeCell ref="A5:I5"/>
    <mergeCell ref="A10:I10"/>
    <mergeCell ref="A11:I11"/>
  </mergeCells>
  <printOptions/>
  <pageMargins left="0" right="0" top="0" bottom="0" header="0.31496062992125984" footer="0.31496062992125984"/>
  <pageSetup horizontalDpi="180" verticalDpi="18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1:K51"/>
  <sheetViews>
    <sheetView zoomScalePageLayoutView="0" workbookViewId="0" topLeftCell="A28">
      <selection activeCell="F43" sqref="F43:G46"/>
    </sheetView>
  </sheetViews>
  <sheetFormatPr defaultColWidth="9.140625" defaultRowHeight="15" outlineLevelCol="1"/>
  <cols>
    <col min="1" max="1" width="4.8515625" style="35" customWidth="1"/>
    <col min="2" max="2" width="48.00390625" style="35" bestFit="1" customWidth="1"/>
    <col min="3" max="3" width="12.421875" style="35" customWidth="1"/>
    <col min="4" max="5" width="13.00390625" style="35" customWidth="1"/>
    <col min="6" max="6" width="13.7109375" style="35" customWidth="1"/>
    <col min="7" max="7" width="13.281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.7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5.2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6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3" customHeight="1"/>
    <row r="7" spans="1:6" s="71" customFormat="1" ht="16.5" customHeight="1">
      <c r="A7" s="71" t="s">
        <v>2</v>
      </c>
      <c r="F7" s="132" t="s">
        <v>109</v>
      </c>
    </row>
    <row r="8" spans="1:6" s="71" customFormat="1" ht="15">
      <c r="A8" s="71" t="s">
        <v>3</v>
      </c>
      <c r="F8" s="132" t="s">
        <v>415</v>
      </c>
    </row>
    <row r="9" s="71" customFormat="1" ht="5.25" customHeight="1"/>
    <row r="10" spans="1:9" s="71" customFormat="1" ht="12" customHeight="1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2" customHeight="1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2" customHeight="1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344383.41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'[1]Ленина 67'!$G$36</f>
        <v>120890.79999999999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'[1]Ленина 67'!$G$37</f>
        <v>135038.4814</v>
      </c>
      <c r="H16" s="66"/>
      <c r="I16" s="66"/>
    </row>
    <row r="17" s="71" customFormat="1" ht="6.75" customHeight="1"/>
    <row r="18" spans="1:7" s="78" customFormat="1" ht="52.5" customHeight="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15">
      <c r="A19" s="79" t="s">
        <v>14</v>
      </c>
      <c r="B19" s="41" t="s">
        <v>15</v>
      </c>
      <c r="C19" s="141">
        <f>C20+C21+C22+C23</f>
        <v>9.53</v>
      </c>
      <c r="D19" s="80">
        <v>295632.22</v>
      </c>
      <c r="E19" s="80">
        <v>279658.09</v>
      </c>
      <c r="F19" s="80">
        <f aca="true" t="shared" si="0" ref="F19:F26">D19</f>
        <v>295632.22</v>
      </c>
      <c r="G19" s="81">
        <f aca="true" t="shared" si="1" ref="G19:G28">E19-D19</f>
        <v>-15974.129999999946</v>
      </c>
      <c r="H19" s="15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103610.87248688351</v>
      </c>
      <c r="E20" s="87">
        <f>E19*I20</f>
        <v>98012.38411332635</v>
      </c>
      <c r="F20" s="87">
        <f t="shared" si="0"/>
        <v>103610.87248688351</v>
      </c>
      <c r="G20" s="88">
        <f t="shared" si="1"/>
        <v>-5598.488373557164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50564.58747114376</v>
      </c>
      <c r="E21" s="87">
        <f>E19*I21</f>
        <v>47832.39104931795</v>
      </c>
      <c r="F21" s="87">
        <f t="shared" si="0"/>
        <v>50564.58747114376</v>
      </c>
      <c r="G21" s="88">
        <f t="shared" si="1"/>
        <v>-2732.196421825807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50564.58747114376</v>
      </c>
      <c r="E22" s="87">
        <f>E19*I22</f>
        <v>47832.39104931795</v>
      </c>
      <c r="F22" s="87">
        <f t="shared" si="0"/>
        <v>50564.58747114376</v>
      </c>
      <c r="G22" s="88">
        <f t="shared" si="1"/>
        <v>-2732.196421825807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90892.17257082896</v>
      </c>
      <c r="E23" s="87">
        <f>E19*I23</f>
        <v>85980.92378803779</v>
      </c>
      <c r="F23" s="87">
        <f t="shared" si="0"/>
        <v>90892.17257082896</v>
      </c>
      <c r="G23" s="88">
        <f t="shared" si="1"/>
        <v>-4911.248782791168</v>
      </c>
      <c r="H23" s="152">
        <f>C23</f>
        <v>2.93</v>
      </c>
      <c r="I23" s="71">
        <f>H23/H19</f>
        <v>0.30745015739769155</v>
      </c>
    </row>
    <row r="24" spans="1:7" ht="15">
      <c r="A24" s="41" t="s">
        <v>25</v>
      </c>
      <c r="B24" s="146" t="s">
        <v>141</v>
      </c>
      <c r="C24" s="46">
        <v>0</v>
      </c>
      <c r="D24" s="81">
        <v>0</v>
      </c>
      <c r="E24" s="81">
        <v>0</v>
      </c>
      <c r="F24" s="81">
        <f t="shared" si="0"/>
        <v>0</v>
      </c>
      <c r="G24" s="81">
        <f t="shared" si="1"/>
        <v>0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7" ht="15">
      <c r="A26" s="41" t="s">
        <v>29</v>
      </c>
      <c r="B26" s="146" t="s">
        <v>170</v>
      </c>
      <c r="C26" s="147">
        <v>39.62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</row>
    <row r="27" spans="1:7" ht="15">
      <c r="A27" s="41" t="s">
        <v>31</v>
      </c>
      <c r="B27" s="146" t="s">
        <v>119</v>
      </c>
      <c r="C27" s="101">
        <v>1.8</v>
      </c>
      <c r="D27" s="81">
        <v>55854.49</v>
      </c>
      <c r="E27" s="81">
        <v>52524.41</v>
      </c>
      <c r="F27" s="91">
        <f>F42</f>
        <v>16308.4941</v>
      </c>
      <c r="G27" s="81">
        <f t="shared" si="1"/>
        <v>-3330.0799999999945</v>
      </c>
    </row>
    <row r="28" spans="1:9" s="38" customFormat="1" ht="15">
      <c r="A28" s="41" t="s">
        <v>33</v>
      </c>
      <c r="B28" s="140" t="s">
        <v>34</v>
      </c>
      <c r="C28" s="46">
        <v>0</v>
      </c>
      <c r="D28" s="81">
        <v>0</v>
      </c>
      <c r="E28" s="81">
        <v>851.4</v>
      </c>
      <c r="F28" s="91">
        <v>0</v>
      </c>
      <c r="G28" s="81">
        <f t="shared" si="1"/>
        <v>851.4</v>
      </c>
      <c r="H28" s="35"/>
      <c r="I28" s="35"/>
    </row>
    <row r="29" spans="1:7" ht="15">
      <c r="A29" s="41" t="s">
        <v>35</v>
      </c>
      <c r="B29" s="140" t="s">
        <v>36</v>
      </c>
      <c r="C29" s="101"/>
      <c r="D29" s="81">
        <f>SUM(D30:D33)</f>
        <v>1210915.5299999998</v>
      </c>
      <c r="E29" s="81">
        <f>SUM(E30:E33)</f>
        <v>1206585.02</v>
      </c>
      <c r="F29" s="81">
        <f>SUM(F30:F33)</f>
        <v>1210915.5299999998</v>
      </c>
      <c r="G29" s="81">
        <f>SUM(G30:G33)</f>
        <v>-4330.509999999944</v>
      </c>
    </row>
    <row r="30" spans="1:7" ht="15">
      <c r="A30" s="34" t="s">
        <v>37</v>
      </c>
      <c r="B30" s="34" t="s">
        <v>174</v>
      </c>
      <c r="C30" s="103" t="s">
        <v>408</v>
      </c>
      <c r="D30" s="88">
        <v>30624.66</v>
      </c>
      <c r="E30" s="88">
        <v>28175.84</v>
      </c>
      <c r="F30" s="88">
        <f>D30</f>
        <v>30624.66</v>
      </c>
      <c r="G30" s="88">
        <f>E30-D30</f>
        <v>-2448.8199999999997</v>
      </c>
    </row>
    <row r="31" spans="1:7" ht="15">
      <c r="A31" s="34" t="s">
        <v>39</v>
      </c>
      <c r="B31" s="34" t="s">
        <v>142</v>
      </c>
      <c r="C31" s="103" t="s">
        <v>324</v>
      </c>
      <c r="D31" s="88">
        <v>342031.91</v>
      </c>
      <c r="E31" s="88">
        <v>363524.21</v>
      </c>
      <c r="F31" s="88">
        <f>D31</f>
        <v>342031.91</v>
      </c>
      <c r="G31" s="88">
        <f>E31-D31</f>
        <v>21492.300000000047</v>
      </c>
    </row>
    <row r="32" spans="1:7" ht="15">
      <c r="A32" s="34" t="s">
        <v>42</v>
      </c>
      <c r="B32" s="34" t="s">
        <v>40</v>
      </c>
      <c r="C32" s="149">
        <v>0</v>
      </c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ht="26.25" thickBot="1">
      <c r="A33" s="34" t="s">
        <v>41</v>
      </c>
      <c r="B33" s="34" t="s">
        <v>43</v>
      </c>
      <c r="C33" s="103" t="s">
        <v>383</v>
      </c>
      <c r="D33" s="88">
        <v>838258.96</v>
      </c>
      <c r="E33" s="88">
        <v>814884.97</v>
      </c>
      <c r="F33" s="88">
        <f>D33</f>
        <v>838258.96</v>
      </c>
      <c r="G33" s="88">
        <f>E33-D33</f>
        <v>-23373.98999999999</v>
      </c>
      <c r="H33" s="105"/>
      <c r="I33" s="105"/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367166.72999999975</v>
      </c>
      <c r="E34" s="70"/>
      <c r="F34" s="70"/>
      <c r="G34" s="70"/>
      <c r="H34" s="66"/>
      <c r="I34" s="66"/>
      <c r="J34" s="105"/>
    </row>
    <row r="35" spans="1:9" s="71" customFormat="1" ht="8.25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121742.19999999998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171254.39729999998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ht="27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0" ht="3.75" customHeight="1"/>
    <row r="41" spans="1:7" s="179" customFormat="1" ht="28.5" customHeight="1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</row>
    <row r="42" spans="1:7" s="119" customFormat="1" ht="12.75" customHeight="1">
      <c r="A42" s="113" t="s">
        <v>47</v>
      </c>
      <c r="B42" s="342" t="s">
        <v>114</v>
      </c>
      <c r="C42" s="345"/>
      <c r="D42" s="115"/>
      <c r="E42" s="115"/>
      <c r="F42" s="356">
        <f>SUM(F43:L46)</f>
        <v>16308.4941</v>
      </c>
      <c r="G42" s="351"/>
    </row>
    <row r="43" spans="1:7" ht="30" customHeight="1">
      <c r="A43" s="34" t="s">
        <v>16</v>
      </c>
      <c r="B43" s="325" t="s">
        <v>180</v>
      </c>
      <c r="C43" s="327"/>
      <c r="D43" s="123"/>
      <c r="E43" s="123" t="s">
        <v>317</v>
      </c>
      <c r="F43" s="366">
        <v>541.75</v>
      </c>
      <c r="G43" s="367"/>
    </row>
    <row r="44" spans="1:7" ht="12.75" customHeight="1">
      <c r="A44" s="34" t="s">
        <v>18</v>
      </c>
      <c r="B44" s="325" t="s">
        <v>181</v>
      </c>
      <c r="C44" s="327"/>
      <c r="D44" s="123" t="s">
        <v>352</v>
      </c>
      <c r="E44" s="123">
        <v>0.08</v>
      </c>
      <c r="F44" s="355">
        <v>5441.5</v>
      </c>
      <c r="G44" s="355"/>
    </row>
    <row r="45" spans="1:7" ht="12.75" customHeight="1">
      <c r="A45" s="34" t="s">
        <v>20</v>
      </c>
      <c r="B45" s="325" t="s">
        <v>663</v>
      </c>
      <c r="C45" s="350"/>
      <c r="D45" s="123"/>
      <c r="E45" s="159" t="s">
        <v>286</v>
      </c>
      <c r="F45" s="344">
        <v>9800</v>
      </c>
      <c r="G45" s="344"/>
    </row>
    <row r="46" spans="1:7" ht="15">
      <c r="A46" s="34" t="s">
        <v>22</v>
      </c>
      <c r="B46" s="155" t="s">
        <v>207</v>
      </c>
      <c r="C46" s="156"/>
      <c r="D46" s="123"/>
      <c r="E46" s="123"/>
      <c r="F46" s="355">
        <f>E27*1%</f>
        <v>525.2441</v>
      </c>
      <c r="G46" s="355"/>
    </row>
    <row r="47" spans="1:7" ht="15">
      <c r="A47" s="71"/>
      <c r="B47" s="71"/>
      <c r="C47" s="71"/>
      <c r="D47" s="71"/>
      <c r="E47" s="71"/>
      <c r="F47" s="71"/>
      <c r="G47" s="71"/>
    </row>
    <row r="48" spans="1:7" ht="15">
      <c r="A48" s="71" t="s">
        <v>55</v>
      </c>
      <c r="B48" s="71"/>
      <c r="C48" s="71" t="s">
        <v>49</v>
      </c>
      <c r="D48" s="71"/>
      <c r="E48" s="71"/>
      <c r="F48" s="71" t="s">
        <v>93</v>
      </c>
      <c r="G48" s="71"/>
    </row>
    <row r="49" spans="1:7" ht="15">
      <c r="A49" s="71"/>
      <c r="B49" s="71"/>
      <c r="C49" s="71"/>
      <c r="D49" s="71"/>
      <c r="E49" s="71"/>
      <c r="F49" s="132" t="s">
        <v>296</v>
      </c>
      <c r="G49" s="71"/>
    </row>
    <row r="50" spans="1:7" ht="15">
      <c r="A50" s="71" t="s">
        <v>50</v>
      </c>
      <c r="B50" s="71"/>
      <c r="C50" s="71"/>
      <c r="D50" s="71"/>
      <c r="E50" s="71"/>
      <c r="F50" s="71"/>
      <c r="G50" s="71"/>
    </row>
    <row r="51" spans="1:7" ht="15">
      <c r="A51" s="71"/>
      <c r="B51" s="71"/>
      <c r="C51" s="134" t="s">
        <v>51</v>
      </c>
      <c r="D51" s="71"/>
      <c r="E51" s="134"/>
      <c r="F51" s="134"/>
      <c r="G51" s="134"/>
    </row>
  </sheetData>
  <sheetProtection/>
  <mergeCells count="21">
    <mergeCell ref="A34:C34"/>
    <mergeCell ref="A12:I12"/>
    <mergeCell ref="A39:I39"/>
    <mergeCell ref="F41:G41"/>
    <mergeCell ref="F43:G43"/>
    <mergeCell ref="A13:C13"/>
    <mergeCell ref="A1:I1"/>
    <mergeCell ref="A2:I2"/>
    <mergeCell ref="A5:I5"/>
    <mergeCell ref="A10:I10"/>
    <mergeCell ref="A3:K3"/>
    <mergeCell ref="A11:I11"/>
    <mergeCell ref="F46:G46"/>
    <mergeCell ref="B41:C41"/>
    <mergeCell ref="B42:C42"/>
    <mergeCell ref="B43:C43"/>
    <mergeCell ref="B44:C44"/>
    <mergeCell ref="F44:G44"/>
    <mergeCell ref="F42:G42"/>
    <mergeCell ref="B45:C45"/>
    <mergeCell ref="F45:G45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A19">
      <selection activeCell="G36" sqref="G36"/>
    </sheetView>
  </sheetViews>
  <sheetFormatPr defaultColWidth="9.140625" defaultRowHeight="15" outlineLevelCol="1"/>
  <cols>
    <col min="1" max="1" width="5.57421875" style="35" customWidth="1"/>
    <col min="2" max="2" width="49.28125" style="35" customWidth="1"/>
    <col min="3" max="3" width="13.00390625" style="35" customWidth="1"/>
    <col min="4" max="4" width="13.421875" style="35" customWidth="1"/>
    <col min="5" max="5" width="13.8515625" style="35" customWidth="1"/>
    <col min="6" max="6" width="12.8515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3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.7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6" customHeight="1"/>
    <row r="7" spans="1:6" s="71" customFormat="1" ht="16.5" customHeight="1">
      <c r="A7" s="71" t="s">
        <v>2</v>
      </c>
      <c r="F7" s="132" t="s">
        <v>110</v>
      </c>
    </row>
    <row r="8" spans="1:6" s="71" customFormat="1" ht="15">
      <c r="A8" s="71" t="s">
        <v>3</v>
      </c>
      <c r="F8" s="132" t="s">
        <v>405</v>
      </c>
    </row>
    <row r="9" s="71" customFormat="1" ht="4.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106152.27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514</v>
      </c>
      <c r="B15" s="68"/>
      <c r="C15" s="68"/>
      <c r="D15" s="73"/>
      <c r="E15" s="74"/>
      <c r="F15" s="74"/>
      <c r="G15" s="151">
        <f>'[1]Огарева 20'!$G$36</f>
        <v>90702.91070000001</v>
      </c>
      <c r="H15" s="66"/>
      <c r="I15" s="66"/>
    </row>
    <row r="16" s="71" customFormat="1" ht="6.75" customHeight="1"/>
    <row r="17" spans="1:7" s="78" customFormat="1" ht="38.25">
      <c r="A17" s="76" t="s">
        <v>11</v>
      </c>
      <c r="B17" s="76" t="s">
        <v>12</v>
      </c>
      <c r="C17" s="76" t="s">
        <v>94</v>
      </c>
      <c r="D17" s="76" t="s">
        <v>283</v>
      </c>
      <c r="E17" s="76" t="s">
        <v>284</v>
      </c>
      <c r="F17" s="77" t="s">
        <v>298</v>
      </c>
      <c r="G17" s="76" t="s">
        <v>299</v>
      </c>
    </row>
    <row r="18" spans="1:16" s="71" customFormat="1" ht="15">
      <c r="A18" s="79" t="s">
        <v>14</v>
      </c>
      <c r="B18" s="41" t="s">
        <v>15</v>
      </c>
      <c r="C18" s="141">
        <f>C19+C20+C21+C22</f>
        <v>9.969999999999999</v>
      </c>
      <c r="D18" s="80">
        <v>260611.73</v>
      </c>
      <c r="E18" s="80">
        <v>243982.62</v>
      </c>
      <c r="F18" s="80">
        <f aca="true" t="shared" si="0" ref="F18:F25">D18</f>
        <v>260611.73</v>
      </c>
      <c r="G18" s="81">
        <f>E18-D18</f>
        <v>-16629.110000000015</v>
      </c>
      <c r="H18" s="82">
        <f>C18</f>
        <v>9.969999999999999</v>
      </c>
      <c r="I18" s="175"/>
      <c r="N18" s="224"/>
      <c r="O18" s="224"/>
      <c r="P18" s="224"/>
    </row>
    <row r="19" spans="1:9" s="71" customFormat="1" ht="15">
      <c r="A19" s="85" t="s">
        <v>16</v>
      </c>
      <c r="B19" s="34" t="s">
        <v>17</v>
      </c>
      <c r="C19" s="103">
        <v>3.34</v>
      </c>
      <c r="D19" s="87">
        <f>D18*I19</f>
        <v>87306.23652958877</v>
      </c>
      <c r="E19" s="87">
        <f>E18*I19</f>
        <v>81735.40128385155</v>
      </c>
      <c r="F19" s="87">
        <f t="shared" si="0"/>
        <v>87306.23652958877</v>
      </c>
      <c r="G19" s="88">
        <f aca="true" t="shared" si="1" ref="G19:G27">E19-D19</f>
        <v>-5570.835245737224</v>
      </c>
      <c r="H19" s="82">
        <f>C19</f>
        <v>3.34</v>
      </c>
      <c r="I19" s="71">
        <f>H19/H18</f>
        <v>0.3350050150451354</v>
      </c>
    </row>
    <row r="20" spans="1:9" s="71" customFormat="1" ht="15">
      <c r="A20" s="85" t="s">
        <v>18</v>
      </c>
      <c r="B20" s="34" t="s">
        <v>19</v>
      </c>
      <c r="C20" s="103">
        <v>1.63</v>
      </c>
      <c r="D20" s="87">
        <f>D18*I20</f>
        <v>42607.534593781354</v>
      </c>
      <c r="E20" s="87">
        <f>E18*I20</f>
        <v>39888.83356068205</v>
      </c>
      <c r="F20" s="87">
        <f t="shared" si="0"/>
        <v>42607.534593781354</v>
      </c>
      <c r="G20" s="88">
        <f t="shared" si="1"/>
        <v>-2718.701033099307</v>
      </c>
      <c r="H20" s="82">
        <f>C20</f>
        <v>1.63</v>
      </c>
      <c r="I20" s="71">
        <f>H20/H18</f>
        <v>0.16349047141424275</v>
      </c>
    </row>
    <row r="21" spans="1:9" s="71" customFormat="1" ht="15">
      <c r="A21" s="85" t="s">
        <v>20</v>
      </c>
      <c r="B21" s="34" t="s">
        <v>21</v>
      </c>
      <c r="C21" s="103">
        <v>2.07</v>
      </c>
      <c r="D21" s="87">
        <f>D18*I21</f>
        <v>54108.95497492478</v>
      </c>
      <c r="E21" s="87">
        <f>E18*I21</f>
        <v>50656.37145436309</v>
      </c>
      <c r="F21" s="87">
        <f t="shared" si="0"/>
        <v>54108.95497492478</v>
      </c>
      <c r="G21" s="88">
        <f t="shared" si="1"/>
        <v>-3452.5835205616895</v>
      </c>
      <c r="H21" s="82">
        <f>C21</f>
        <v>2.07</v>
      </c>
      <c r="I21" s="71">
        <f>H21/H18</f>
        <v>0.20762286860581747</v>
      </c>
    </row>
    <row r="22" spans="1:9" s="71" customFormat="1" ht="15">
      <c r="A22" s="85" t="s">
        <v>22</v>
      </c>
      <c r="B22" s="34" t="s">
        <v>23</v>
      </c>
      <c r="C22" s="103">
        <v>2.93</v>
      </c>
      <c r="D22" s="87">
        <f>D18*I22</f>
        <v>76589.00390170513</v>
      </c>
      <c r="E22" s="87">
        <f>E18*I22</f>
        <v>71702.01370110332</v>
      </c>
      <c r="F22" s="87">
        <f t="shared" si="0"/>
        <v>76589.00390170513</v>
      </c>
      <c r="G22" s="88">
        <f t="shared" si="1"/>
        <v>-4886.990200601809</v>
      </c>
      <c r="H22" s="82">
        <f>C22</f>
        <v>2.93</v>
      </c>
      <c r="I22" s="71">
        <f>H22/H18</f>
        <v>0.29388164493480445</v>
      </c>
    </row>
    <row r="23" spans="1:9" ht="15">
      <c r="A23" s="41" t="s">
        <v>25</v>
      </c>
      <c r="B23" s="41" t="s">
        <v>26</v>
      </c>
      <c r="C23" s="147">
        <v>0</v>
      </c>
      <c r="D23" s="81">
        <v>0</v>
      </c>
      <c r="E23" s="81">
        <v>0</v>
      </c>
      <c r="F23" s="80">
        <f t="shared" si="0"/>
        <v>0</v>
      </c>
      <c r="G23" s="81">
        <f t="shared" si="1"/>
        <v>0</v>
      </c>
      <c r="H23" s="39"/>
      <c r="I23" s="39"/>
    </row>
    <row r="24" spans="1:9" ht="15">
      <c r="A24" s="41" t="s">
        <v>27</v>
      </c>
      <c r="B24" s="41" t="s">
        <v>28</v>
      </c>
      <c r="C24" s="147">
        <v>0</v>
      </c>
      <c r="D24" s="81">
        <v>0</v>
      </c>
      <c r="E24" s="81">
        <v>0</v>
      </c>
      <c r="F24" s="81">
        <f t="shared" si="0"/>
        <v>0</v>
      </c>
      <c r="G24" s="81">
        <f t="shared" si="1"/>
        <v>0</v>
      </c>
      <c r="H24" s="39"/>
      <c r="I24" s="39"/>
    </row>
    <row r="25" spans="1:9" ht="15">
      <c r="A25" s="41" t="s">
        <v>29</v>
      </c>
      <c r="B25" s="41" t="s">
        <v>30</v>
      </c>
      <c r="C25" s="147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  <c r="H25" s="39"/>
      <c r="I25" s="39"/>
    </row>
    <row r="26" spans="1:9" ht="15">
      <c r="A26" s="41" t="s">
        <v>31</v>
      </c>
      <c r="B26" s="41" t="s">
        <v>119</v>
      </c>
      <c r="C26" s="147">
        <v>1.99</v>
      </c>
      <c r="D26" s="81">
        <v>49468.56</v>
      </c>
      <c r="E26" s="81">
        <v>48680.13</v>
      </c>
      <c r="F26" s="91">
        <f>F41</f>
        <v>2690.0213000000003</v>
      </c>
      <c r="G26" s="81">
        <f t="shared" si="1"/>
        <v>-788.4300000000003</v>
      </c>
      <c r="H26" s="39"/>
      <c r="I26" s="39"/>
    </row>
    <row r="27" spans="1:9" ht="15">
      <c r="A27" s="227">
        <v>6</v>
      </c>
      <c r="B27" s="90" t="s">
        <v>170</v>
      </c>
      <c r="C27" s="141" t="s">
        <v>314</v>
      </c>
      <c r="D27" s="81">
        <v>0</v>
      </c>
      <c r="E27" s="81">
        <v>0</v>
      </c>
      <c r="F27" s="91">
        <f>D27</f>
        <v>0</v>
      </c>
      <c r="G27" s="81">
        <f t="shared" si="1"/>
        <v>0</v>
      </c>
      <c r="H27" s="39"/>
      <c r="I27" s="39"/>
    </row>
    <row r="28" spans="1:9" ht="15">
      <c r="A28" s="227">
        <f>A27+1</f>
        <v>7</v>
      </c>
      <c r="B28" s="41" t="s">
        <v>36</v>
      </c>
      <c r="C28" s="148"/>
      <c r="D28" s="81">
        <f>SUM(D29:D32)</f>
        <v>1150974.79</v>
      </c>
      <c r="E28" s="81">
        <f>SUM(E29:E32)</f>
        <v>1138360.44</v>
      </c>
      <c r="F28" s="81">
        <f>SUM(F29:F32)</f>
        <v>725147.7</v>
      </c>
      <c r="G28" s="81">
        <f>SUM(G29:G32)</f>
        <v>-12614.34999999998</v>
      </c>
      <c r="H28" s="39"/>
      <c r="I28" s="39"/>
    </row>
    <row r="29" spans="1:7" ht="15">
      <c r="A29" s="228" t="s">
        <v>37</v>
      </c>
      <c r="B29" s="34" t="s">
        <v>96</v>
      </c>
      <c r="C29" s="103" t="s">
        <v>300</v>
      </c>
      <c r="D29" s="88">
        <v>13610.42</v>
      </c>
      <c r="E29" s="88">
        <v>13367.33</v>
      </c>
      <c r="F29" s="88">
        <f>D29</f>
        <v>13610.42</v>
      </c>
      <c r="G29" s="88">
        <f>E29-D29</f>
        <v>-243.09000000000015</v>
      </c>
    </row>
    <row r="30" spans="1:7" ht="15">
      <c r="A30" s="228" t="s">
        <v>39</v>
      </c>
      <c r="B30" s="34" t="s">
        <v>142</v>
      </c>
      <c r="C30" s="103" t="s">
        <v>315</v>
      </c>
      <c r="D30" s="88">
        <v>249153.53</v>
      </c>
      <c r="E30" s="88">
        <v>251023.56</v>
      </c>
      <c r="F30" s="88">
        <f>D30</f>
        <v>249153.53</v>
      </c>
      <c r="G30" s="88">
        <f>E30-D30</f>
        <v>1870.0299999999988</v>
      </c>
    </row>
    <row r="31" spans="1:7" ht="15">
      <c r="A31" s="228" t="s">
        <v>42</v>
      </c>
      <c r="B31" s="34" t="s">
        <v>143</v>
      </c>
      <c r="C31" s="149" t="s">
        <v>382</v>
      </c>
      <c r="D31" s="88">
        <v>431188.02</v>
      </c>
      <c r="E31" s="88">
        <v>425827.09</v>
      </c>
      <c r="F31" s="88">
        <v>5360.93</v>
      </c>
      <c r="G31" s="88">
        <f>E31-D31</f>
        <v>-5360.929999999993</v>
      </c>
    </row>
    <row r="32" spans="1:7" ht="15">
      <c r="A32" s="228" t="s">
        <v>41</v>
      </c>
      <c r="B32" s="34" t="s">
        <v>43</v>
      </c>
      <c r="C32" s="103" t="s">
        <v>383</v>
      </c>
      <c r="D32" s="88">
        <v>457022.82</v>
      </c>
      <c r="E32" s="88">
        <v>448142.46</v>
      </c>
      <c r="F32" s="88">
        <f>D32</f>
        <v>457022.82</v>
      </c>
      <c r="G32" s="88">
        <f>E32-D32</f>
        <v>-8880.359999999986</v>
      </c>
    </row>
    <row r="33" spans="1:10" s="106" customFormat="1" ht="10.5" customHeight="1" thickBot="1">
      <c r="A33" s="108"/>
      <c r="B33" s="108"/>
      <c r="D33" s="105"/>
      <c r="E33" s="105"/>
      <c r="F33" s="105"/>
      <c r="G33" s="105"/>
      <c r="H33" s="105"/>
      <c r="I33" s="105"/>
      <c r="J33" s="105"/>
    </row>
    <row r="34" spans="1:9" s="71" customFormat="1" ht="15.75" thickBot="1">
      <c r="A34" s="319" t="s">
        <v>420</v>
      </c>
      <c r="B34" s="320"/>
      <c r="C34" s="320"/>
      <c r="D34" s="69">
        <f>D13+D18+D23+D24+D25+D26+D27+D28-E18-E23-E24-E25-E26-E27-E28</f>
        <v>136184.16000000015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558</v>
      </c>
      <c r="B36" s="68"/>
      <c r="C36" s="68"/>
      <c r="D36" s="73"/>
      <c r="E36" s="74"/>
      <c r="F36" s="74"/>
      <c r="G36" s="151">
        <f>G15+E26-F26</f>
        <v>136693.01940000002</v>
      </c>
      <c r="H36" s="66"/>
      <c r="I36" s="66"/>
    </row>
    <row r="37" spans="1:9" s="71" customFormat="1" ht="15">
      <c r="A37" s="72"/>
      <c r="B37" s="72"/>
      <c r="C37" s="72"/>
      <c r="D37" s="40"/>
      <c r="E37" s="70"/>
      <c r="F37" s="70"/>
      <c r="G37" s="40"/>
      <c r="H37" s="66"/>
      <c r="I37" s="66"/>
    </row>
    <row r="38" spans="1:9" ht="26.25" customHeight="1">
      <c r="A38" s="372" t="s">
        <v>44</v>
      </c>
      <c r="B38" s="372"/>
      <c r="C38" s="372"/>
      <c r="D38" s="372"/>
      <c r="E38" s="372"/>
      <c r="F38" s="372"/>
      <c r="G38" s="372"/>
      <c r="H38" s="372"/>
      <c r="I38" s="372"/>
    </row>
    <row r="39" ht="3.75" customHeight="1"/>
    <row r="40" spans="1:7" s="179" customFormat="1" ht="28.5" customHeight="1">
      <c r="A40" s="109" t="s">
        <v>11</v>
      </c>
      <c r="B40" s="340" t="s">
        <v>45</v>
      </c>
      <c r="C40" s="352"/>
      <c r="D40" s="109" t="s">
        <v>172</v>
      </c>
      <c r="E40" s="109" t="s">
        <v>171</v>
      </c>
      <c r="F40" s="340" t="s">
        <v>46</v>
      </c>
      <c r="G40" s="352"/>
    </row>
    <row r="41" spans="1:7" s="119" customFormat="1" ht="13.5" customHeight="1">
      <c r="A41" s="113" t="s">
        <v>47</v>
      </c>
      <c r="B41" s="342" t="s">
        <v>114</v>
      </c>
      <c r="C41" s="345"/>
      <c r="D41" s="115"/>
      <c r="E41" s="115"/>
      <c r="F41" s="356">
        <f>SUM(F42:L44)</f>
        <v>2690.0213000000003</v>
      </c>
      <c r="G41" s="351"/>
    </row>
    <row r="42" spans="1:9" s="119" customFormat="1" ht="15">
      <c r="A42" s="34" t="s">
        <v>16</v>
      </c>
      <c r="B42" s="325" t="s">
        <v>268</v>
      </c>
      <c r="C42" s="327"/>
      <c r="D42" s="123"/>
      <c r="E42" s="123" t="s">
        <v>336</v>
      </c>
      <c r="F42" s="366">
        <v>663.22</v>
      </c>
      <c r="G42" s="367"/>
      <c r="H42" s="35"/>
      <c r="I42" s="35"/>
    </row>
    <row r="43" spans="1:9" s="119" customFormat="1" ht="15">
      <c r="A43" s="34" t="s">
        <v>18</v>
      </c>
      <c r="B43" s="325" t="s">
        <v>663</v>
      </c>
      <c r="C43" s="350"/>
      <c r="D43" s="123"/>
      <c r="E43" s="159" t="s">
        <v>286</v>
      </c>
      <c r="F43" s="344">
        <v>1540</v>
      </c>
      <c r="G43" s="344"/>
      <c r="H43" s="35"/>
      <c r="I43" s="35"/>
    </row>
    <row r="44" spans="1:9" s="71" customFormat="1" ht="15">
      <c r="A44" s="34" t="s">
        <v>20</v>
      </c>
      <c r="B44" s="155" t="s">
        <v>207</v>
      </c>
      <c r="C44" s="156"/>
      <c r="D44" s="123"/>
      <c r="E44" s="123"/>
      <c r="F44" s="355">
        <f>E26*1%</f>
        <v>486.80129999999997</v>
      </c>
      <c r="G44" s="355"/>
      <c r="H44" s="35"/>
      <c r="I44" s="35"/>
    </row>
    <row r="45" spans="1:9" s="71" customFormat="1" ht="11.25" customHeight="1">
      <c r="A45" s="176"/>
      <c r="B45" s="191"/>
      <c r="C45" s="191"/>
      <c r="D45" s="229"/>
      <c r="E45" s="229"/>
      <c r="F45" s="192"/>
      <c r="G45" s="192"/>
      <c r="H45" s="35"/>
      <c r="I45" s="35"/>
    </row>
    <row r="46" spans="1:9" s="71" customFormat="1" ht="15">
      <c r="A46" s="71" t="s">
        <v>55</v>
      </c>
      <c r="C46" s="71" t="s">
        <v>49</v>
      </c>
      <c r="F46" s="71" t="s">
        <v>93</v>
      </c>
      <c r="H46" s="35"/>
      <c r="I46" s="35"/>
    </row>
    <row r="47" spans="6:9" s="71" customFormat="1" ht="15">
      <c r="F47" s="132" t="s">
        <v>296</v>
      </c>
      <c r="H47" s="35"/>
      <c r="I47" s="35"/>
    </row>
  </sheetData>
  <sheetProtection/>
  <mergeCells count="19">
    <mergeCell ref="A13:C13"/>
    <mergeCell ref="B41:C41"/>
    <mergeCell ref="A34:C34"/>
    <mergeCell ref="A38:I38"/>
    <mergeCell ref="F41:G41"/>
    <mergeCell ref="A12:I12"/>
    <mergeCell ref="A1:I1"/>
    <mergeCell ref="A2:I2"/>
    <mergeCell ref="A5:I5"/>
    <mergeCell ref="A10:I10"/>
    <mergeCell ref="A3:K3"/>
    <mergeCell ref="A11:I11"/>
    <mergeCell ref="F44:G44"/>
    <mergeCell ref="F40:G40"/>
    <mergeCell ref="B43:C43"/>
    <mergeCell ref="F43:G43"/>
    <mergeCell ref="F42:G42"/>
    <mergeCell ref="B42:C42"/>
    <mergeCell ref="B40:C4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7030A0"/>
  </sheetPr>
  <dimension ref="A1:K48"/>
  <sheetViews>
    <sheetView zoomScalePageLayoutView="0" workbookViewId="0" topLeftCell="A18">
      <selection activeCell="G36" sqref="G36"/>
    </sheetView>
  </sheetViews>
  <sheetFormatPr defaultColWidth="9.140625" defaultRowHeight="15" outlineLevelCol="1"/>
  <cols>
    <col min="1" max="1" width="5.57421875" style="35" customWidth="1"/>
    <col min="2" max="2" width="46.00390625" style="35" customWidth="1"/>
    <col min="3" max="3" width="14.28125" style="35" customWidth="1"/>
    <col min="4" max="5" width="12.7109375" style="35" customWidth="1"/>
    <col min="6" max="6" width="15.14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.7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6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3.75" customHeight="1"/>
    <row r="7" spans="1:8" s="71" customFormat="1" ht="16.5" customHeight="1">
      <c r="A7" s="71" t="s">
        <v>2</v>
      </c>
      <c r="F7" s="132" t="s">
        <v>111</v>
      </c>
      <c r="H7" s="71" t="s">
        <v>581</v>
      </c>
    </row>
    <row r="8" spans="1:9" s="71" customFormat="1" ht="15">
      <c r="A8" s="71" t="s">
        <v>3</v>
      </c>
      <c r="F8" s="132" t="s">
        <v>145</v>
      </c>
      <c r="H8" s="213">
        <v>613.6</v>
      </c>
      <c r="I8" s="213">
        <f>H8+1785.2</f>
        <v>2398.8</v>
      </c>
    </row>
    <row r="9" s="71" customFormat="1" ht="4.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979588.14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514</v>
      </c>
      <c r="B15" s="68"/>
      <c r="C15" s="68"/>
      <c r="D15" s="73"/>
      <c r="E15" s="74"/>
      <c r="F15" s="74"/>
      <c r="G15" s="151">
        <f>'[1]Пролетарская 40'!$G$36</f>
        <v>28855.134500000004</v>
      </c>
      <c r="H15" s="66"/>
      <c r="I15" s="66"/>
    </row>
    <row r="16" s="71" customFormat="1" ht="6.75" customHeight="1"/>
    <row r="17" spans="1:7" s="78" customFormat="1" ht="38.25">
      <c r="A17" s="76" t="s">
        <v>11</v>
      </c>
      <c r="B17" s="76" t="s">
        <v>12</v>
      </c>
      <c r="C17" s="76" t="s">
        <v>94</v>
      </c>
      <c r="D17" s="76" t="s">
        <v>283</v>
      </c>
      <c r="E17" s="76" t="s">
        <v>284</v>
      </c>
      <c r="F17" s="77" t="s">
        <v>298</v>
      </c>
      <c r="G17" s="76" t="s">
        <v>299</v>
      </c>
    </row>
    <row r="18" spans="1:9" s="71" customFormat="1" ht="29.25">
      <c r="A18" s="79" t="s">
        <v>14</v>
      </c>
      <c r="B18" s="41" t="s">
        <v>15</v>
      </c>
      <c r="C18" s="141">
        <f>C19+C20+C21+C22</f>
        <v>9.969999999999999</v>
      </c>
      <c r="D18" s="80">
        <v>223112.75</v>
      </c>
      <c r="E18" s="80">
        <v>184512.26</v>
      </c>
      <c r="F18" s="80">
        <f aca="true" t="shared" si="0" ref="F18:F25">D18</f>
        <v>223112.75</v>
      </c>
      <c r="G18" s="81">
        <f>E18-D18</f>
        <v>-38600.48999999999</v>
      </c>
      <c r="H18" s="82">
        <f>C18</f>
        <v>9.969999999999999</v>
      </c>
      <c r="I18" s="175"/>
    </row>
    <row r="19" spans="1:9" s="71" customFormat="1" ht="15">
      <c r="A19" s="85" t="s">
        <v>16</v>
      </c>
      <c r="B19" s="34" t="s">
        <v>17</v>
      </c>
      <c r="C19" s="103">
        <v>3.34</v>
      </c>
      <c r="D19" s="87">
        <f>D18*I19</f>
        <v>74743.89017051154</v>
      </c>
      <c r="E19" s="87">
        <f>E18*I19</f>
        <v>61812.53243731194</v>
      </c>
      <c r="F19" s="87">
        <f t="shared" si="0"/>
        <v>74743.89017051154</v>
      </c>
      <c r="G19" s="88">
        <f aca="true" t="shared" si="1" ref="G19:G27">E19-D19</f>
        <v>-12931.357733199606</v>
      </c>
      <c r="H19" s="82">
        <f>C19</f>
        <v>3.34</v>
      </c>
      <c r="I19" s="71">
        <f>H19/H18</f>
        <v>0.3350050150451354</v>
      </c>
    </row>
    <row r="20" spans="1:9" s="71" customFormat="1" ht="15">
      <c r="A20" s="85" t="s">
        <v>18</v>
      </c>
      <c r="B20" s="34" t="s">
        <v>19</v>
      </c>
      <c r="C20" s="103">
        <v>1.63</v>
      </c>
      <c r="D20" s="87">
        <f>D18*I20</f>
        <v>36476.808676028086</v>
      </c>
      <c r="E20" s="87">
        <f>E18*I20</f>
        <v>30165.996369107328</v>
      </c>
      <c r="F20" s="87">
        <f t="shared" si="0"/>
        <v>36476.808676028086</v>
      </c>
      <c r="G20" s="88">
        <f t="shared" si="1"/>
        <v>-6310.812306920758</v>
      </c>
      <c r="H20" s="82">
        <f>C20</f>
        <v>1.63</v>
      </c>
      <c r="I20" s="71">
        <f>H20/H18</f>
        <v>0.16349047141424275</v>
      </c>
    </row>
    <row r="21" spans="1:9" s="71" customFormat="1" ht="15">
      <c r="A21" s="85" t="s">
        <v>20</v>
      </c>
      <c r="B21" s="34" t="s">
        <v>21</v>
      </c>
      <c r="C21" s="103">
        <v>2.07</v>
      </c>
      <c r="D21" s="87">
        <f>D18*I21</f>
        <v>46323.3091775326</v>
      </c>
      <c r="E21" s="87">
        <f>E18*I21</f>
        <v>38308.96471414243</v>
      </c>
      <c r="F21" s="87">
        <f t="shared" si="0"/>
        <v>46323.3091775326</v>
      </c>
      <c r="G21" s="88">
        <f t="shared" si="1"/>
        <v>-8014.3444633901745</v>
      </c>
      <c r="H21" s="82">
        <f>C21</f>
        <v>2.07</v>
      </c>
      <c r="I21" s="71">
        <f>H21/H18</f>
        <v>0.20762286860581747</v>
      </c>
    </row>
    <row r="22" spans="1:9" s="71" customFormat="1" ht="15">
      <c r="A22" s="85" t="s">
        <v>22</v>
      </c>
      <c r="B22" s="34" t="s">
        <v>23</v>
      </c>
      <c r="C22" s="103">
        <v>2.93</v>
      </c>
      <c r="D22" s="87">
        <f>D18*I22</f>
        <v>65568.7419759278</v>
      </c>
      <c r="E22" s="87">
        <f>E18*I22</f>
        <v>54224.76647943832</v>
      </c>
      <c r="F22" s="87">
        <f t="shared" si="0"/>
        <v>65568.7419759278</v>
      </c>
      <c r="G22" s="88">
        <f t="shared" si="1"/>
        <v>-11343.975496489475</v>
      </c>
      <c r="H22" s="82">
        <f>C22</f>
        <v>2.93</v>
      </c>
      <c r="I22" s="71">
        <f>H22/H18</f>
        <v>0.29388164493480445</v>
      </c>
    </row>
    <row r="23" spans="1:9" ht="15">
      <c r="A23" s="41" t="s">
        <v>25</v>
      </c>
      <c r="B23" s="41" t="s">
        <v>26</v>
      </c>
      <c r="C23" s="147">
        <v>0</v>
      </c>
      <c r="D23" s="81">
        <v>0</v>
      </c>
      <c r="E23" s="81">
        <v>0</v>
      </c>
      <c r="F23" s="80">
        <f t="shared" si="0"/>
        <v>0</v>
      </c>
      <c r="G23" s="81">
        <f t="shared" si="1"/>
        <v>0</v>
      </c>
      <c r="H23" s="39"/>
      <c r="I23" s="39"/>
    </row>
    <row r="24" spans="1:9" ht="15">
      <c r="A24" s="41" t="s">
        <v>27</v>
      </c>
      <c r="B24" s="41" t="s">
        <v>28</v>
      </c>
      <c r="C24" s="147">
        <v>0</v>
      </c>
      <c r="D24" s="81">
        <v>0</v>
      </c>
      <c r="E24" s="81">
        <v>0</v>
      </c>
      <c r="F24" s="81">
        <f t="shared" si="0"/>
        <v>0</v>
      </c>
      <c r="G24" s="81">
        <f t="shared" si="1"/>
        <v>0</v>
      </c>
      <c r="H24" s="39"/>
      <c r="I24" s="39"/>
    </row>
    <row r="25" spans="1:9" ht="15">
      <c r="A25" s="41" t="s">
        <v>29</v>
      </c>
      <c r="B25" s="41" t="s">
        <v>30</v>
      </c>
      <c r="C25" s="147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  <c r="H25" s="39"/>
      <c r="I25" s="39"/>
    </row>
    <row r="26" spans="1:9" ht="15">
      <c r="A26" s="41" t="s">
        <v>31</v>
      </c>
      <c r="B26" s="41" t="s">
        <v>119</v>
      </c>
      <c r="C26" s="147">
        <v>1.99</v>
      </c>
      <c r="D26" s="81">
        <v>42630.96</v>
      </c>
      <c r="E26" s="81">
        <v>36581.05</v>
      </c>
      <c r="F26" s="91">
        <f>F41</f>
        <v>1905.8105</v>
      </c>
      <c r="G26" s="81">
        <f t="shared" si="1"/>
        <v>-6049.909999999996</v>
      </c>
      <c r="H26" s="39"/>
      <c r="I26" s="39"/>
    </row>
    <row r="27" spans="1:9" ht="15">
      <c r="A27" s="227">
        <v>6</v>
      </c>
      <c r="B27" s="90" t="s">
        <v>170</v>
      </c>
      <c r="C27" s="141" t="s">
        <v>314</v>
      </c>
      <c r="D27" s="81">
        <v>0</v>
      </c>
      <c r="E27" s="81">
        <v>0</v>
      </c>
      <c r="F27" s="91">
        <f>D27</f>
        <v>0</v>
      </c>
      <c r="G27" s="81">
        <f t="shared" si="1"/>
        <v>0</v>
      </c>
      <c r="H27" s="39"/>
      <c r="I27" s="39"/>
    </row>
    <row r="28" spans="1:9" ht="15">
      <c r="A28" s="227">
        <f>A27+1</f>
        <v>7</v>
      </c>
      <c r="B28" s="41" t="s">
        <v>36</v>
      </c>
      <c r="C28" s="148"/>
      <c r="D28" s="81">
        <f>SUM(D29:D32)</f>
        <v>863141.76</v>
      </c>
      <c r="E28" s="81">
        <f>SUM(E29:E32)</f>
        <v>717019.7</v>
      </c>
      <c r="F28" s="81">
        <f>SUM(F29:F32)</f>
        <v>863141.76</v>
      </c>
      <c r="G28" s="81">
        <f>SUM(G29:G32)</f>
        <v>-146122.05999999997</v>
      </c>
      <c r="H28" s="39"/>
      <c r="I28" s="39"/>
    </row>
    <row r="29" spans="1:7" ht="15">
      <c r="A29" s="228" t="s">
        <v>37</v>
      </c>
      <c r="B29" s="34" t="s">
        <v>96</v>
      </c>
      <c r="C29" s="103" t="s">
        <v>300</v>
      </c>
      <c r="D29" s="88">
        <v>14361.52</v>
      </c>
      <c r="E29" s="88">
        <v>16510.71</v>
      </c>
      <c r="F29" s="88">
        <f>D29</f>
        <v>14361.52</v>
      </c>
      <c r="G29" s="88">
        <f>E29-D29</f>
        <v>2149.1899999999987</v>
      </c>
    </row>
    <row r="30" spans="1:7" ht="15">
      <c r="A30" s="228" t="s">
        <v>39</v>
      </c>
      <c r="B30" s="34" t="s">
        <v>142</v>
      </c>
      <c r="C30" s="103" t="s">
        <v>315</v>
      </c>
      <c r="D30" s="88">
        <v>154767.9</v>
      </c>
      <c r="E30" s="88">
        <v>125973.97</v>
      </c>
      <c r="F30" s="88">
        <f>D30</f>
        <v>154767.9</v>
      </c>
      <c r="G30" s="88">
        <f>E30-D30</f>
        <v>-28793.929999999993</v>
      </c>
    </row>
    <row r="31" spans="1:7" ht="15">
      <c r="A31" s="228" t="s">
        <v>42</v>
      </c>
      <c r="B31" s="34" t="s">
        <v>143</v>
      </c>
      <c r="C31" s="149" t="s">
        <v>382</v>
      </c>
      <c r="D31" s="88">
        <v>274105.36</v>
      </c>
      <c r="E31" s="88">
        <v>218002.08</v>
      </c>
      <c r="F31" s="88">
        <f>D31</f>
        <v>274105.36</v>
      </c>
      <c r="G31" s="88">
        <f>E31-D31</f>
        <v>-56103.28</v>
      </c>
    </row>
    <row r="32" spans="1:7" ht="15">
      <c r="A32" s="228" t="s">
        <v>41</v>
      </c>
      <c r="B32" s="34" t="s">
        <v>43</v>
      </c>
      <c r="C32" s="103" t="s">
        <v>383</v>
      </c>
      <c r="D32" s="88">
        <v>419906.98</v>
      </c>
      <c r="E32" s="88">
        <v>356532.94</v>
      </c>
      <c r="F32" s="88">
        <f>D32</f>
        <v>419906.98</v>
      </c>
      <c r="G32" s="88">
        <f>E32-D32</f>
        <v>-63374.03999999998</v>
      </c>
    </row>
    <row r="33" spans="1:10" s="106" customFormat="1" ht="4.5" customHeight="1" thickBot="1">
      <c r="A33" s="108"/>
      <c r="B33" s="108"/>
      <c r="C33" s="108"/>
      <c r="D33" s="105"/>
      <c r="E33" s="105"/>
      <c r="F33" s="105"/>
      <c r="G33" s="105"/>
      <c r="H33" s="105"/>
      <c r="I33" s="105"/>
      <c r="J33" s="105"/>
    </row>
    <row r="34" spans="1:9" s="71" customFormat="1" ht="15.75" thickBot="1">
      <c r="A34" s="319" t="s">
        <v>420</v>
      </c>
      <c r="B34" s="320"/>
      <c r="C34" s="320"/>
      <c r="D34" s="69">
        <f>D13+D18+D23+D24+D25+D26+D27+D28-E18-E23-E24-E25-E26-E27-E28</f>
        <v>1170360.6000000003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558</v>
      </c>
      <c r="B36" s="68"/>
      <c r="C36" s="68"/>
      <c r="D36" s="73"/>
      <c r="E36" s="74"/>
      <c r="F36" s="74"/>
      <c r="G36" s="151">
        <f>G15+E26-F26</f>
        <v>63530.374</v>
      </c>
      <c r="H36" s="66"/>
      <c r="I36" s="66"/>
    </row>
    <row r="37" spans="1:9" s="71" customFormat="1" ht="15">
      <c r="A37" s="72"/>
      <c r="B37" s="72"/>
      <c r="C37" s="72"/>
      <c r="D37" s="40"/>
      <c r="E37" s="70"/>
      <c r="F37" s="70"/>
      <c r="G37" s="40"/>
      <c r="H37" s="66"/>
      <c r="I37" s="66"/>
    </row>
    <row r="38" spans="1:9" ht="26.25" customHeight="1">
      <c r="A38" s="372" t="s">
        <v>44</v>
      </c>
      <c r="B38" s="372"/>
      <c r="C38" s="372"/>
      <c r="D38" s="372"/>
      <c r="E38" s="372"/>
      <c r="F38" s="372"/>
      <c r="G38" s="372"/>
      <c r="H38" s="372"/>
      <c r="I38" s="372"/>
    </row>
    <row r="39" ht="3.75" customHeight="1"/>
    <row r="40" spans="1:7" s="179" customFormat="1" ht="28.5" customHeight="1">
      <c r="A40" s="109" t="s">
        <v>11</v>
      </c>
      <c r="B40" s="340" t="s">
        <v>45</v>
      </c>
      <c r="C40" s="352"/>
      <c r="D40" s="109" t="s">
        <v>172</v>
      </c>
      <c r="E40" s="109" t="s">
        <v>171</v>
      </c>
      <c r="F40" s="340" t="s">
        <v>46</v>
      </c>
      <c r="G40" s="352"/>
    </row>
    <row r="41" spans="1:7" s="119" customFormat="1" ht="13.5" customHeight="1">
      <c r="A41" s="113" t="s">
        <v>47</v>
      </c>
      <c r="B41" s="342" t="s">
        <v>114</v>
      </c>
      <c r="C41" s="345"/>
      <c r="D41" s="115"/>
      <c r="E41" s="115"/>
      <c r="F41" s="356">
        <f>SUM(F42:L43)</f>
        <v>1905.8105</v>
      </c>
      <c r="G41" s="351"/>
    </row>
    <row r="42" spans="1:7" s="119" customFormat="1" ht="13.5" customHeight="1">
      <c r="A42" s="34" t="s">
        <v>16</v>
      </c>
      <c r="B42" s="325" t="s">
        <v>663</v>
      </c>
      <c r="C42" s="350"/>
      <c r="D42" s="115"/>
      <c r="E42" s="159" t="s">
        <v>286</v>
      </c>
      <c r="F42" s="344">
        <v>1540</v>
      </c>
      <c r="G42" s="344"/>
    </row>
    <row r="43" spans="1:7" ht="15">
      <c r="A43" s="34" t="s">
        <v>18</v>
      </c>
      <c r="B43" s="155" t="s">
        <v>207</v>
      </c>
      <c r="C43" s="156"/>
      <c r="D43" s="123"/>
      <c r="E43" s="123"/>
      <c r="F43" s="355">
        <f>E26*1%</f>
        <v>365.81050000000005</v>
      </c>
      <c r="G43" s="355"/>
    </row>
    <row r="44" spans="1:7" ht="15">
      <c r="A44" s="71"/>
      <c r="B44" s="71"/>
      <c r="C44" s="71"/>
      <c r="D44" s="71"/>
      <c r="E44" s="71"/>
      <c r="F44" s="71"/>
      <c r="G44" s="71"/>
    </row>
    <row r="45" spans="1:7" ht="15">
      <c r="A45" s="71" t="s">
        <v>55</v>
      </c>
      <c r="B45" s="71"/>
      <c r="C45" s="71" t="s">
        <v>49</v>
      </c>
      <c r="D45" s="71"/>
      <c r="E45" s="71"/>
      <c r="F45" s="71" t="s">
        <v>93</v>
      </c>
      <c r="G45" s="71"/>
    </row>
    <row r="46" spans="1:7" ht="15">
      <c r="A46" s="71"/>
      <c r="B46" s="71"/>
      <c r="C46" s="71"/>
      <c r="D46" s="71"/>
      <c r="E46" s="71"/>
      <c r="F46" s="132" t="s">
        <v>296</v>
      </c>
      <c r="G46" s="71"/>
    </row>
    <row r="47" spans="1:7" ht="15">
      <c r="A47" s="71" t="s">
        <v>50</v>
      </c>
      <c r="B47" s="71"/>
      <c r="C47" s="71"/>
      <c r="D47" s="71"/>
      <c r="E47" s="71"/>
      <c r="F47" s="71"/>
      <c r="G47" s="71"/>
    </row>
    <row r="48" spans="1:7" ht="15">
      <c r="A48" s="71"/>
      <c r="B48" s="71"/>
      <c r="C48" s="134" t="s">
        <v>51</v>
      </c>
      <c r="D48" s="71"/>
      <c r="E48" s="134"/>
      <c r="F48" s="134"/>
      <c r="G48" s="134"/>
    </row>
  </sheetData>
  <sheetProtection/>
  <mergeCells count="17">
    <mergeCell ref="A11:I11"/>
    <mergeCell ref="F42:G42"/>
    <mergeCell ref="F41:G41"/>
    <mergeCell ref="B40:C40"/>
    <mergeCell ref="B41:C41"/>
    <mergeCell ref="A12:I12"/>
    <mergeCell ref="A38:I38"/>
    <mergeCell ref="A1:I1"/>
    <mergeCell ref="A2:I2"/>
    <mergeCell ref="A5:I5"/>
    <mergeCell ref="A10:I10"/>
    <mergeCell ref="A3:K3"/>
    <mergeCell ref="F43:G43"/>
    <mergeCell ref="F40:G40"/>
    <mergeCell ref="A13:C13"/>
    <mergeCell ref="A34:C34"/>
    <mergeCell ref="B42:C42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7030A0"/>
  </sheetPr>
  <dimension ref="A1:K54"/>
  <sheetViews>
    <sheetView zoomScalePageLayoutView="0" workbookViewId="0" topLeftCell="A25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0.28125" style="35" customWidth="1"/>
    <col min="3" max="3" width="13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4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3" customHeight="1"/>
    <row r="7" spans="1:6" s="71" customFormat="1" ht="16.5" customHeight="1">
      <c r="A7" s="71" t="s">
        <v>2</v>
      </c>
      <c r="F7" s="132" t="s">
        <v>112</v>
      </c>
    </row>
    <row r="8" spans="1:6" s="71" customFormat="1" ht="15">
      <c r="A8" s="71" t="s">
        <v>3</v>
      </c>
      <c r="F8" s="132" t="s">
        <v>113</v>
      </c>
    </row>
    <row r="9" s="71" customFormat="1" ht="6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12059.07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'[1]Чижевского 4'!$G$37</f>
        <v>-7060.03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'[1]Чижевского 4'!$G$38</f>
        <v>-527143.461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9" s="71" customFormat="1" ht="29.25">
      <c r="A19" s="79" t="s">
        <v>14</v>
      </c>
      <c r="B19" s="41" t="s">
        <v>15</v>
      </c>
      <c r="C19" s="141">
        <f>C20+C21+C22+C23</f>
        <v>9.969999999999999</v>
      </c>
      <c r="D19" s="80">
        <v>170846.28</v>
      </c>
      <c r="E19" s="80">
        <v>168356.06</v>
      </c>
      <c r="F19" s="80">
        <f aca="true" t="shared" si="0" ref="F19:F25">D19</f>
        <v>170846.28</v>
      </c>
      <c r="G19" s="81">
        <f>E19-D19</f>
        <v>-2490.220000000001</v>
      </c>
      <c r="H19" s="82">
        <f>C19</f>
        <v>9.969999999999999</v>
      </c>
      <c r="I19" s="175"/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57234.36060180542</v>
      </c>
      <c r="E20" s="87">
        <f>E19*I20</f>
        <v>56400.12441323972</v>
      </c>
      <c r="F20" s="87">
        <f t="shared" si="0"/>
        <v>57234.36060180542</v>
      </c>
      <c r="G20" s="88">
        <f aca="true" t="shared" si="1" ref="G20:G28">E20-D20</f>
        <v>-834.236188565701</v>
      </c>
      <c r="H20" s="82">
        <f>C20</f>
        <v>3.34</v>
      </c>
      <c r="I20" s="71">
        <f>H20/H19</f>
        <v>0.3350050150451354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27931.73885656971</v>
      </c>
      <c r="E21" s="87">
        <f>E19*I21</f>
        <v>27524.611614844536</v>
      </c>
      <c r="F21" s="87">
        <f t="shared" si="0"/>
        <v>27931.73885656971</v>
      </c>
      <c r="G21" s="88">
        <f t="shared" si="1"/>
        <v>-407.1272417251748</v>
      </c>
      <c r="H21" s="82">
        <f>C21</f>
        <v>1.63</v>
      </c>
      <c r="I21" s="71">
        <f>H21/H19</f>
        <v>0.16349047141424275</v>
      </c>
    </row>
    <row r="22" spans="1:9" s="71" customFormat="1" ht="15">
      <c r="A22" s="85" t="s">
        <v>20</v>
      </c>
      <c r="B22" s="34" t="s">
        <v>21</v>
      </c>
      <c r="C22" s="103">
        <v>2.07</v>
      </c>
      <c r="D22" s="87">
        <f>D19*I22</f>
        <v>35471.5947442327</v>
      </c>
      <c r="E22" s="87">
        <f>E19*I22</f>
        <v>34954.56812437312</v>
      </c>
      <c r="F22" s="87">
        <f t="shared" si="0"/>
        <v>35471.5947442327</v>
      </c>
      <c r="G22" s="88">
        <f t="shared" si="1"/>
        <v>-517.0266198595782</v>
      </c>
      <c r="H22" s="82">
        <f>C22</f>
        <v>2.07</v>
      </c>
      <c r="I22" s="71">
        <f>H22/H19</f>
        <v>0.20762286860581747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50208.58579739218</v>
      </c>
      <c r="E23" s="87">
        <f>E19*I23</f>
        <v>49476.755847542634</v>
      </c>
      <c r="F23" s="87">
        <f t="shared" si="0"/>
        <v>50208.58579739218</v>
      </c>
      <c r="G23" s="88">
        <f t="shared" si="1"/>
        <v>-731.8299498495471</v>
      </c>
      <c r="H23" s="82">
        <f>C23</f>
        <v>2.93</v>
      </c>
      <c r="I23" s="71">
        <f>H23/H19</f>
        <v>0.29388164493480445</v>
      </c>
    </row>
    <row r="24" spans="1:9" ht="15">
      <c r="A24" s="41" t="s">
        <v>25</v>
      </c>
      <c r="B24" s="41" t="s">
        <v>26</v>
      </c>
      <c r="C24" s="147">
        <v>0</v>
      </c>
      <c r="D24" s="81">
        <v>0</v>
      </c>
      <c r="E24" s="81">
        <v>0</v>
      </c>
      <c r="F24" s="80">
        <f t="shared" si="0"/>
        <v>0</v>
      </c>
      <c r="G24" s="81">
        <f t="shared" si="1"/>
        <v>0</v>
      </c>
      <c r="H24" s="39"/>
      <c r="I24" s="39"/>
    </row>
    <row r="25" spans="1:9" ht="15">
      <c r="A25" s="41" t="s">
        <v>27</v>
      </c>
      <c r="B25" s="41" t="s">
        <v>28</v>
      </c>
      <c r="C25" s="147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  <c r="H25" s="39"/>
      <c r="I25" s="39"/>
    </row>
    <row r="26" spans="1:9" ht="15">
      <c r="A26" s="41" t="s">
        <v>29</v>
      </c>
      <c r="B26" s="41" t="s">
        <v>95</v>
      </c>
      <c r="C26" s="147">
        <v>0</v>
      </c>
      <c r="D26" s="81">
        <v>0</v>
      </c>
      <c r="E26" s="81">
        <v>0</v>
      </c>
      <c r="F26" s="81">
        <v>0</v>
      </c>
      <c r="G26" s="81">
        <f t="shared" si="1"/>
        <v>0</v>
      </c>
      <c r="H26" s="39"/>
      <c r="I26" s="39"/>
    </row>
    <row r="27" spans="1:9" ht="15">
      <c r="A27" s="41" t="s">
        <v>31</v>
      </c>
      <c r="B27" s="41" t="s">
        <v>119</v>
      </c>
      <c r="C27" s="147">
        <v>3</v>
      </c>
      <c r="D27" s="81">
        <v>279888</v>
      </c>
      <c r="E27" s="81">
        <v>280289.54</v>
      </c>
      <c r="F27" s="91">
        <f>F43</f>
        <v>100722.7154</v>
      </c>
      <c r="G27" s="81">
        <f t="shared" si="1"/>
        <v>401.53999999997905</v>
      </c>
      <c r="H27" s="39"/>
      <c r="I27" s="39"/>
    </row>
    <row r="28" spans="1:9" ht="15">
      <c r="A28" s="227">
        <v>6</v>
      </c>
      <c r="B28" s="90" t="s">
        <v>170</v>
      </c>
      <c r="C28" s="141">
        <v>0</v>
      </c>
      <c r="D28" s="81">
        <v>0</v>
      </c>
      <c r="E28" s="81">
        <v>0</v>
      </c>
      <c r="F28" s="91">
        <f>D28</f>
        <v>0</v>
      </c>
      <c r="G28" s="81">
        <f t="shared" si="1"/>
        <v>0</v>
      </c>
      <c r="H28" s="39"/>
      <c r="I28" s="39"/>
    </row>
    <row r="29" spans="1:9" ht="15">
      <c r="A29" s="227">
        <f>A28+1</f>
        <v>7</v>
      </c>
      <c r="B29" s="41" t="s">
        <v>36</v>
      </c>
      <c r="C29" s="148"/>
      <c r="D29" s="81">
        <f>SUM(D30:D33)</f>
        <v>758680.8300000001</v>
      </c>
      <c r="E29" s="81">
        <f>SUM(E30:E33)</f>
        <v>764977.49</v>
      </c>
      <c r="F29" s="81">
        <f>SUM(F30:F33)</f>
        <v>758680.8300000001</v>
      </c>
      <c r="G29" s="81">
        <f>SUM(G30:G33)</f>
        <v>6296.659999999971</v>
      </c>
      <c r="H29" s="39"/>
      <c r="I29" s="39"/>
    </row>
    <row r="30" spans="1:7" ht="15">
      <c r="A30" s="228" t="s">
        <v>37</v>
      </c>
      <c r="B30" s="34" t="s">
        <v>96</v>
      </c>
      <c r="C30" s="103" t="s">
        <v>300</v>
      </c>
      <c r="D30" s="88">
        <v>13317.18</v>
      </c>
      <c r="E30" s="88">
        <v>13164.73</v>
      </c>
      <c r="F30" s="88">
        <f>D30</f>
        <v>13317.18</v>
      </c>
      <c r="G30" s="88">
        <f>E30-D30</f>
        <v>-152.45000000000073</v>
      </c>
    </row>
    <row r="31" spans="1:7" ht="15">
      <c r="A31" s="228" t="s">
        <v>39</v>
      </c>
      <c r="B31" s="34" t="s">
        <v>142</v>
      </c>
      <c r="C31" s="103" t="s">
        <v>315</v>
      </c>
      <c r="D31" s="88">
        <v>93864.78</v>
      </c>
      <c r="E31" s="88">
        <v>99861.27</v>
      </c>
      <c r="F31" s="88">
        <f>D31</f>
        <v>93864.78</v>
      </c>
      <c r="G31" s="88">
        <f>E31-D31</f>
        <v>5996.490000000005</v>
      </c>
    </row>
    <row r="32" spans="1:7" ht="15">
      <c r="A32" s="228" t="s">
        <v>42</v>
      </c>
      <c r="B32" s="34" t="s">
        <v>143</v>
      </c>
      <c r="C32" s="149" t="s">
        <v>382</v>
      </c>
      <c r="D32" s="88">
        <v>166260.94</v>
      </c>
      <c r="E32" s="88">
        <v>174556.77</v>
      </c>
      <c r="F32" s="88">
        <f>D32</f>
        <v>166260.94</v>
      </c>
      <c r="G32" s="88">
        <f>E32-D32</f>
        <v>8295.829999999987</v>
      </c>
    </row>
    <row r="33" spans="1:7" ht="15">
      <c r="A33" s="228" t="s">
        <v>41</v>
      </c>
      <c r="B33" s="34" t="s">
        <v>43</v>
      </c>
      <c r="C33" s="103" t="s">
        <v>383</v>
      </c>
      <c r="D33" s="88">
        <v>485237.93</v>
      </c>
      <c r="E33" s="88">
        <v>477394.72</v>
      </c>
      <c r="F33" s="88">
        <f>D33</f>
        <v>485237.93</v>
      </c>
      <c r="G33" s="88">
        <f>E33-D33</f>
        <v>-7843.210000000021</v>
      </c>
    </row>
    <row r="34" spans="1:10" s="106" customFormat="1" ht="5.25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D13+D19+D24+D25+D26+D27+D28+D29-E19-E24-E25-E26-E27-E28-E29</f>
        <v>7851.090000000084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563</v>
      </c>
      <c r="B37" s="68"/>
      <c r="C37" s="68"/>
      <c r="D37" s="73"/>
      <c r="E37" s="74"/>
      <c r="F37" s="74"/>
      <c r="G37" s="151">
        <f>G15+E26-F26</f>
        <v>-7060.03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-347576.6364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s="71" customFormat="1" ht="25.5" customHeight="1">
      <c r="A40" s="372" t="s">
        <v>44</v>
      </c>
      <c r="B40" s="372"/>
      <c r="C40" s="372"/>
      <c r="D40" s="372"/>
      <c r="E40" s="372"/>
      <c r="F40" s="372"/>
      <c r="G40" s="372"/>
      <c r="H40" s="372"/>
      <c r="I40" s="372"/>
    </row>
    <row r="42" spans="1:9" ht="28.5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  <c r="H42" s="179"/>
      <c r="I42" s="179"/>
    </row>
    <row r="43" spans="1:9" s="179" customFormat="1" ht="15">
      <c r="A43" s="113" t="s">
        <v>47</v>
      </c>
      <c r="B43" s="342" t="s">
        <v>114</v>
      </c>
      <c r="C43" s="345"/>
      <c r="D43" s="115"/>
      <c r="E43" s="115"/>
      <c r="F43" s="356">
        <f>SUM(F44:L49)</f>
        <v>100722.7154</v>
      </c>
      <c r="G43" s="351"/>
      <c r="H43" s="119"/>
      <c r="I43" s="119"/>
    </row>
    <row r="44" spans="1:9" s="119" customFormat="1" ht="13.5" customHeight="1">
      <c r="A44" s="34" t="s">
        <v>16</v>
      </c>
      <c r="B44" s="325" t="s">
        <v>406</v>
      </c>
      <c r="C44" s="327"/>
      <c r="D44" s="123" t="s">
        <v>176</v>
      </c>
      <c r="E44" s="123">
        <v>6</v>
      </c>
      <c r="F44" s="366">
        <v>6000</v>
      </c>
      <c r="G44" s="367"/>
      <c r="H44" s="35"/>
      <c r="I44" s="35"/>
    </row>
    <row r="45" spans="1:7" ht="13.5" customHeight="1">
      <c r="A45" s="34" t="s">
        <v>18</v>
      </c>
      <c r="B45" s="325" t="s">
        <v>175</v>
      </c>
      <c r="C45" s="327"/>
      <c r="D45" s="123" t="s">
        <v>176</v>
      </c>
      <c r="E45" s="123">
        <v>4</v>
      </c>
      <c r="F45" s="355">
        <v>5200</v>
      </c>
      <c r="G45" s="355"/>
    </row>
    <row r="46" spans="1:7" ht="13.5" customHeight="1">
      <c r="A46" s="34" t="s">
        <v>20</v>
      </c>
      <c r="B46" s="325" t="s">
        <v>407</v>
      </c>
      <c r="C46" s="327"/>
      <c r="D46" s="123"/>
      <c r="E46" s="123"/>
      <c r="F46" s="366">
        <v>66639</v>
      </c>
      <c r="G46" s="367"/>
    </row>
    <row r="47" spans="1:7" ht="13.5" customHeight="1">
      <c r="A47" s="34" t="s">
        <v>22</v>
      </c>
      <c r="B47" s="325" t="s">
        <v>357</v>
      </c>
      <c r="C47" s="327"/>
      <c r="D47" s="123" t="s">
        <v>176</v>
      </c>
      <c r="E47" s="123">
        <v>4.47</v>
      </c>
      <c r="F47" s="366">
        <v>15880.82</v>
      </c>
      <c r="G47" s="367"/>
    </row>
    <row r="48" spans="1:7" ht="13.5" customHeight="1">
      <c r="A48" s="34" t="s">
        <v>24</v>
      </c>
      <c r="B48" s="325" t="s">
        <v>663</v>
      </c>
      <c r="C48" s="350"/>
      <c r="D48" s="123"/>
      <c r="E48" s="159" t="s">
        <v>286</v>
      </c>
      <c r="F48" s="344">
        <v>4200</v>
      </c>
      <c r="G48" s="344"/>
    </row>
    <row r="49" spans="1:7" ht="13.5" customHeight="1">
      <c r="A49" s="34" t="s">
        <v>106</v>
      </c>
      <c r="B49" s="155" t="s">
        <v>207</v>
      </c>
      <c r="C49" s="156"/>
      <c r="D49" s="123"/>
      <c r="E49" s="123"/>
      <c r="F49" s="355">
        <f>E27*1%</f>
        <v>2802.8954</v>
      </c>
      <c r="G49" s="355"/>
    </row>
    <row r="50" spans="8:9" s="71" customFormat="1" ht="6" customHeight="1">
      <c r="H50" s="35"/>
      <c r="I50" s="35"/>
    </row>
    <row r="51" spans="1:9" s="71" customFormat="1" ht="15">
      <c r="A51" s="71" t="s">
        <v>55</v>
      </c>
      <c r="C51" s="71" t="s">
        <v>49</v>
      </c>
      <c r="F51" s="71" t="s">
        <v>93</v>
      </c>
      <c r="H51" s="35"/>
      <c r="I51" s="35"/>
    </row>
    <row r="52" spans="6:9" s="71" customFormat="1" ht="12.75" customHeight="1">
      <c r="F52" s="132" t="s">
        <v>296</v>
      </c>
      <c r="H52" s="35"/>
      <c r="I52" s="35"/>
    </row>
    <row r="53" spans="1:9" s="71" customFormat="1" ht="15">
      <c r="A53" s="71" t="s">
        <v>50</v>
      </c>
      <c r="H53" s="35"/>
      <c r="I53" s="35"/>
    </row>
    <row r="54" spans="3:9" s="71" customFormat="1" ht="15">
      <c r="C54" s="134" t="s">
        <v>51</v>
      </c>
      <c r="E54" s="134"/>
      <c r="F54" s="134"/>
      <c r="G54" s="134"/>
      <c r="H54" s="35"/>
      <c r="I54" s="35"/>
    </row>
    <row r="55" s="71" customFormat="1" ht="15"/>
    <row r="56" s="71" customFormat="1" ht="15"/>
  </sheetData>
  <sheetProtection/>
  <mergeCells count="25">
    <mergeCell ref="A11:I11"/>
    <mergeCell ref="A3:K3"/>
    <mergeCell ref="A1:I1"/>
    <mergeCell ref="A2:I2"/>
    <mergeCell ref="A5:I5"/>
    <mergeCell ref="A10:I10"/>
    <mergeCell ref="F48:G48"/>
    <mergeCell ref="B46:C46"/>
    <mergeCell ref="A35:C35"/>
    <mergeCell ref="B47:C47"/>
    <mergeCell ref="B45:C45"/>
    <mergeCell ref="B44:C44"/>
    <mergeCell ref="A40:I40"/>
    <mergeCell ref="B42:C42"/>
    <mergeCell ref="F42:G42"/>
    <mergeCell ref="A12:I12"/>
    <mergeCell ref="F43:G43"/>
    <mergeCell ref="B43:C43"/>
    <mergeCell ref="F49:G49"/>
    <mergeCell ref="F46:G46"/>
    <mergeCell ref="A13:C13"/>
    <mergeCell ref="F44:G44"/>
    <mergeCell ref="F47:G47"/>
    <mergeCell ref="B48:C48"/>
    <mergeCell ref="F45:G45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7030A0"/>
  </sheetPr>
  <dimension ref="A1:K53"/>
  <sheetViews>
    <sheetView zoomScalePageLayoutView="0" workbookViewId="0" topLeftCell="A25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7.8515625" style="35" customWidth="1"/>
    <col min="3" max="3" width="13.00390625" style="35" customWidth="1"/>
    <col min="4" max="5" width="12.7109375" style="35" customWidth="1"/>
    <col min="6" max="6" width="15.281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4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3" customHeight="1"/>
    <row r="7" spans="1:6" s="71" customFormat="1" ht="16.5" customHeight="1">
      <c r="A7" s="71" t="s">
        <v>2</v>
      </c>
      <c r="F7" s="132" t="s">
        <v>129</v>
      </c>
    </row>
    <row r="8" spans="1:6" s="71" customFormat="1" ht="15">
      <c r="A8" s="71" t="s">
        <v>3</v>
      </c>
      <c r="F8" s="132" t="s">
        <v>381</v>
      </c>
    </row>
    <row r="9" s="71" customFormat="1" ht="6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28966.59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'[1]Билибина 10'!$G$37</f>
        <v>13787.78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'[1]Билибина 10'!$G$38</f>
        <v>120572.39239999998</v>
      </c>
      <c r="H16" s="66"/>
      <c r="I16" s="66"/>
    </row>
    <row r="17" s="71" customFormat="1" ht="6.75" customHeight="1"/>
    <row r="18" spans="1:7" s="78" customFormat="1" ht="52.5" customHeight="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9" s="71" customFormat="1" ht="15" customHeight="1">
      <c r="A19" s="79" t="s">
        <v>14</v>
      </c>
      <c r="B19" s="41" t="s">
        <v>15</v>
      </c>
      <c r="C19" s="141">
        <f>C20+C21+C22+C23</f>
        <v>9.969999999999999</v>
      </c>
      <c r="D19" s="80">
        <v>456644.86</v>
      </c>
      <c r="E19" s="80">
        <v>446507.43</v>
      </c>
      <c r="F19" s="80">
        <f aca="true" t="shared" si="0" ref="F19:F25">D19</f>
        <v>456644.86</v>
      </c>
      <c r="G19" s="81">
        <f>E19-D19</f>
        <v>-10137.429999999993</v>
      </c>
      <c r="H19" s="82">
        <f>C19</f>
        <v>9.969999999999999</v>
      </c>
      <c r="I19" s="175"/>
    </row>
    <row r="20" spans="1:9" s="71" customFormat="1" ht="15" customHeight="1">
      <c r="A20" s="85" t="s">
        <v>16</v>
      </c>
      <c r="B20" s="34" t="s">
        <v>17</v>
      </c>
      <c r="C20" s="103">
        <v>3.34</v>
      </c>
      <c r="D20" s="87">
        <f>D19*I20</f>
        <v>152978.31819458376</v>
      </c>
      <c r="E20" s="87">
        <f>E19*I20</f>
        <v>149582.22830491475</v>
      </c>
      <c r="F20" s="87">
        <f t="shared" si="0"/>
        <v>152978.31819458376</v>
      </c>
      <c r="G20" s="88">
        <f aca="true" t="shared" si="1" ref="G20:G28">E20-D20</f>
        <v>-3396.089889669005</v>
      </c>
      <c r="H20" s="82">
        <f>C20</f>
        <v>3.34</v>
      </c>
      <c r="I20" s="71">
        <f>H20/H19</f>
        <v>0.3350050150451354</v>
      </c>
    </row>
    <row r="21" spans="1:9" s="71" customFormat="1" ht="15" customHeight="1">
      <c r="A21" s="85" t="s">
        <v>18</v>
      </c>
      <c r="B21" s="34" t="s">
        <v>19</v>
      </c>
      <c r="C21" s="103">
        <v>1.63</v>
      </c>
      <c r="D21" s="87">
        <f>D19*I21</f>
        <v>74657.08343029088</v>
      </c>
      <c r="E21" s="87">
        <f>E19*I21</f>
        <v>72999.71022066199</v>
      </c>
      <c r="F21" s="87">
        <f t="shared" si="0"/>
        <v>74657.08343029088</v>
      </c>
      <c r="G21" s="88">
        <f t="shared" si="1"/>
        <v>-1657.3732096288877</v>
      </c>
      <c r="H21" s="82">
        <f>C21</f>
        <v>1.63</v>
      </c>
      <c r="I21" s="71">
        <f>H21/H19</f>
        <v>0.16349047141424275</v>
      </c>
    </row>
    <row r="22" spans="1:9" s="71" customFormat="1" ht="15" customHeight="1">
      <c r="A22" s="85" t="s">
        <v>20</v>
      </c>
      <c r="B22" s="34" t="s">
        <v>21</v>
      </c>
      <c r="C22" s="103">
        <v>2.07</v>
      </c>
      <c r="D22" s="87">
        <f>D19*I22</f>
        <v>94809.9157673019</v>
      </c>
      <c r="E22" s="87">
        <f>E19*I22</f>
        <v>92705.15347041124</v>
      </c>
      <c r="F22" s="87">
        <f t="shared" si="0"/>
        <v>94809.9157673019</v>
      </c>
      <c r="G22" s="88">
        <f t="shared" si="1"/>
        <v>-2104.7622968906653</v>
      </c>
      <c r="H22" s="82">
        <f>C22</f>
        <v>2.07</v>
      </c>
      <c r="I22" s="71">
        <f>H22/H19</f>
        <v>0.20762286860581747</v>
      </c>
    </row>
    <row r="23" spans="1:9" s="71" customFormat="1" ht="15" customHeight="1">
      <c r="A23" s="85" t="s">
        <v>22</v>
      </c>
      <c r="B23" s="34" t="s">
        <v>23</v>
      </c>
      <c r="C23" s="103">
        <v>2.93</v>
      </c>
      <c r="D23" s="87">
        <f>D19*I23</f>
        <v>134199.54260782347</v>
      </c>
      <c r="E23" s="87">
        <f>E19*I23</f>
        <v>131220.33800401204</v>
      </c>
      <c r="F23" s="87">
        <f t="shared" si="0"/>
        <v>134199.54260782347</v>
      </c>
      <c r="G23" s="88">
        <f t="shared" si="1"/>
        <v>-2979.204603811435</v>
      </c>
      <c r="H23" s="82">
        <f>C23</f>
        <v>2.93</v>
      </c>
      <c r="I23" s="71">
        <f>H23/H19</f>
        <v>0.29388164493480445</v>
      </c>
    </row>
    <row r="24" spans="1:9" ht="15" customHeight="1">
      <c r="A24" s="41" t="s">
        <v>25</v>
      </c>
      <c r="B24" s="41" t="s">
        <v>26</v>
      </c>
      <c r="C24" s="147">
        <v>3.72</v>
      </c>
      <c r="D24" s="81">
        <v>169717.92</v>
      </c>
      <c r="E24" s="81">
        <v>166188.39</v>
      </c>
      <c r="F24" s="80">
        <f t="shared" si="0"/>
        <v>169717.92</v>
      </c>
      <c r="G24" s="81">
        <f t="shared" si="1"/>
        <v>-3529.529999999999</v>
      </c>
      <c r="H24" s="39"/>
      <c r="I24" s="39"/>
    </row>
    <row r="25" spans="1:9" ht="15" customHeight="1">
      <c r="A25" s="41" t="s">
        <v>27</v>
      </c>
      <c r="B25" s="41" t="s">
        <v>28</v>
      </c>
      <c r="C25" s="147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  <c r="H25" s="39"/>
      <c r="I25" s="39"/>
    </row>
    <row r="26" spans="1:9" ht="15" customHeight="1">
      <c r="A26" s="41" t="s">
        <v>29</v>
      </c>
      <c r="B26" s="41" t="s">
        <v>182</v>
      </c>
      <c r="C26" s="147">
        <v>1.08</v>
      </c>
      <c r="D26" s="81">
        <v>49380.46</v>
      </c>
      <c r="E26" s="81">
        <v>48353.97</v>
      </c>
      <c r="F26" s="81">
        <f>D26</f>
        <v>49380.46</v>
      </c>
      <c r="G26" s="81">
        <f t="shared" si="1"/>
        <v>-1026.489999999998</v>
      </c>
      <c r="H26" s="39"/>
      <c r="I26" s="39"/>
    </row>
    <row r="27" spans="1:9" ht="15" customHeight="1">
      <c r="A27" s="41" t="s">
        <v>31</v>
      </c>
      <c r="B27" s="41" t="s">
        <v>119</v>
      </c>
      <c r="C27" s="147">
        <v>1.99</v>
      </c>
      <c r="D27" s="81">
        <v>90987.92</v>
      </c>
      <c r="E27" s="81">
        <v>89098.06</v>
      </c>
      <c r="F27" s="91">
        <f>F43</f>
        <v>100411.5006</v>
      </c>
      <c r="G27" s="81">
        <f t="shared" si="1"/>
        <v>-1889.8600000000006</v>
      </c>
      <c r="H27" s="39"/>
      <c r="I27" s="39"/>
    </row>
    <row r="28" spans="1:9" ht="15" customHeight="1">
      <c r="A28" s="227">
        <v>6</v>
      </c>
      <c r="B28" s="90" t="s">
        <v>170</v>
      </c>
      <c r="C28" s="141">
        <v>39.62</v>
      </c>
      <c r="D28" s="81">
        <v>0</v>
      </c>
      <c r="E28" s="81">
        <v>0</v>
      </c>
      <c r="F28" s="91">
        <f>D28</f>
        <v>0</v>
      </c>
      <c r="G28" s="81">
        <f t="shared" si="1"/>
        <v>0</v>
      </c>
      <c r="H28" s="39"/>
      <c r="I28" s="39"/>
    </row>
    <row r="29" spans="1:9" ht="15" customHeight="1">
      <c r="A29" s="227">
        <f>A28+1</f>
        <v>7</v>
      </c>
      <c r="B29" s="41" t="s">
        <v>36</v>
      </c>
      <c r="C29" s="148"/>
      <c r="D29" s="81">
        <f>SUM(D30:D33)</f>
        <v>2218836.77</v>
      </c>
      <c r="E29" s="81">
        <f>SUM(E30:E33)</f>
        <v>2174648.58</v>
      </c>
      <c r="F29" s="81">
        <f>SUM(F30:F33)</f>
        <v>2142599.46</v>
      </c>
      <c r="G29" s="81">
        <f>SUM(G30:G33)</f>
        <v>-44188.190000000104</v>
      </c>
      <c r="H29" s="39"/>
      <c r="I29" s="39"/>
    </row>
    <row r="30" spans="1:7" ht="15" customHeight="1">
      <c r="A30" s="228" t="s">
        <v>37</v>
      </c>
      <c r="B30" s="34" t="s">
        <v>96</v>
      </c>
      <c r="C30" s="103" t="s">
        <v>300</v>
      </c>
      <c r="D30" s="88">
        <v>77879.45</v>
      </c>
      <c r="E30" s="88">
        <v>76237.31</v>
      </c>
      <c r="F30" s="88">
        <v>1642.14</v>
      </c>
      <c r="G30" s="88">
        <f>E30-D30</f>
        <v>-1642.1399999999994</v>
      </c>
    </row>
    <row r="31" spans="1:7" ht="15" customHeight="1">
      <c r="A31" s="228" t="s">
        <v>39</v>
      </c>
      <c r="B31" s="34" t="s">
        <v>142</v>
      </c>
      <c r="C31" s="103" t="s">
        <v>315</v>
      </c>
      <c r="D31" s="88">
        <v>298818.71</v>
      </c>
      <c r="E31" s="88">
        <v>297369.51</v>
      </c>
      <c r="F31" s="88">
        <f>D31</f>
        <v>298818.71</v>
      </c>
      <c r="G31" s="88">
        <f>E31-D31</f>
        <v>-1449.2000000000116</v>
      </c>
    </row>
    <row r="32" spans="1:7" ht="15" customHeight="1">
      <c r="A32" s="228" t="s">
        <v>42</v>
      </c>
      <c r="B32" s="34" t="s">
        <v>143</v>
      </c>
      <c r="C32" s="149" t="s">
        <v>382</v>
      </c>
      <c r="D32" s="88">
        <v>547418.1</v>
      </c>
      <c r="E32" s="88">
        <v>530944.38</v>
      </c>
      <c r="F32" s="88">
        <f>D32</f>
        <v>547418.1</v>
      </c>
      <c r="G32" s="88">
        <f>E32-D32</f>
        <v>-16473.719999999972</v>
      </c>
    </row>
    <row r="33" spans="1:7" ht="15" customHeight="1">
      <c r="A33" s="228" t="s">
        <v>41</v>
      </c>
      <c r="B33" s="34" t="s">
        <v>43</v>
      </c>
      <c r="C33" s="103" t="s">
        <v>383</v>
      </c>
      <c r="D33" s="88">
        <v>1294720.51</v>
      </c>
      <c r="E33" s="88">
        <v>1270097.38</v>
      </c>
      <c r="F33" s="88">
        <f>D33</f>
        <v>1294720.51</v>
      </c>
      <c r="G33" s="88">
        <f>E33-D33</f>
        <v>-24623.13000000012</v>
      </c>
    </row>
    <row r="34" spans="1:10" s="106" customFormat="1" ht="5.25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D13+D19+D24+D25+D26+D27+D28+D29-E19-E24-E25-E26-E27-E28-E29</f>
        <v>89738.08999999939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6.5" customHeight="1" thickBot="1">
      <c r="A37" s="67" t="s">
        <v>557</v>
      </c>
      <c r="B37" s="68"/>
      <c r="C37" s="68"/>
      <c r="D37" s="73"/>
      <c r="E37" s="74"/>
      <c r="F37" s="74"/>
      <c r="G37" s="151">
        <f>G15</f>
        <v>13787.78</v>
      </c>
      <c r="H37" s="66"/>
      <c r="I37" s="66"/>
    </row>
    <row r="38" spans="1:9" s="71" customFormat="1" ht="16.5" customHeight="1" thickBot="1">
      <c r="A38" s="67" t="s">
        <v>558</v>
      </c>
      <c r="B38" s="68"/>
      <c r="C38" s="68"/>
      <c r="D38" s="73"/>
      <c r="E38" s="74"/>
      <c r="F38" s="74"/>
      <c r="G38" s="151">
        <f>G16+E27-F27</f>
        <v>109258.95179999998</v>
      </c>
      <c r="H38" s="66"/>
      <c r="I38" s="66"/>
    </row>
    <row r="39" spans="1:9" s="71" customFormat="1" ht="16.5" customHeight="1">
      <c r="A39" s="72"/>
      <c r="B39" s="72"/>
      <c r="C39" s="72"/>
      <c r="D39" s="40"/>
      <c r="E39" s="70"/>
      <c r="F39" s="70"/>
      <c r="G39" s="40"/>
      <c r="H39" s="66"/>
      <c r="I39" s="66"/>
    </row>
    <row r="40" spans="1:9" ht="26.25" customHeight="1">
      <c r="A40" s="372" t="s">
        <v>44</v>
      </c>
      <c r="B40" s="372"/>
      <c r="C40" s="372"/>
      <c r="D40" s="372"/>
      <c r="E40" s="372"/>
      <c r="F40" s="372"/>
      <c r="G40" s="372"/>
      <c r="H40" s="372"/>
      <c r="I40" s="372"/>
    </row>
    <row r="41" ht="3.75" customHeight="1"/>
    <row r="42" spans="1:7" s="179" customFormat="1" ht="28.5" customHeight="1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</row>
    <row r="43" spans="1:7" s="119" customFormat="1" ht="13.5" customHeight="1">
      <c r="A43" s="113" t="s">
        <v>47</v>
      </c>
      <c r="B43" s="342" t="s">
        <v>114</v>
      </c>
      <c r="C43" s="345"/>
      <c r="D43" s="115"/>
      <c r="E43" s="115"/>
      <c r="F43" s="356">
        <f>SUM(F44:L48)</f>
        <v>100411.5006</v>
      </c>
      <c r="G43" s="351"/>
    </row>
    <row r="44" spans="1:7" ht="13.5" customHeight="1">
      <c r="A44" s="34" t="s">
        <v>16</v>
      </c>
      <c r="B44" s="325" t="s">
        <v>384</v>
      </c>
      <c r="C44" s="327"/>
      <c r="D44" s="123" t="s">
        <v>352</v>
      </c>
      <c r="E44" s="212">
        <v>0.0016</v>
      </c>
      <c r="F44" s="366">
        <v>820.52</v>
      </c>
      <c r="G44" s="367"/>
    </row>
    <row r="45" spans="1:7" ht="13.5" customHeight="1">
      <c r="A45" s="34" t="s">
        <v>18</v>
      </c>
      <c r="B45" s="325" t="s">
        <v>663</v>
      </c>
      <c r="C45" s="350"/>
      <c r="D45" s="123"/>
      <c r="E45" s="159" t="s">
        <v>286</v>
      </c>
      <c r="F45" s="344">
        <v>9100</v>
      </c>
      <c r="G45" s="344"/>
    </row>
    <row r="46" spans="1:7" ht="13.5" customHeight="1">
      <c r="A46" s="34" t="s">
        <v>20</v>
      </c>
      <c r="B46" s="325" t="s">
        <v>697</v>
      </c>
      <c r="C46" s="350"/>
      <c r="D46" s="123"/>
      <c r="E46" s="159"/>
      <c r="F46" s="344">
        <v>44000</v>
      </c>
      <c r="G46" s="344"/>
    </row>
    <row r="47" spans="1:7" ht="13.5" customHeight="1">
      <c r="A47" s="34" t="s">
        <v>22</v>
      </c>
      <c r="B47" s="325" t="s">
        <v>178</v>
      </c>
      <c r="C47" s="350"/>
      <c r="D47" s="123"/>
      <c r="E47" s="159"/>
      <c r="F47" s="344">
        <v>45600</v>
      </c>
      <c r="G47" s="344"/>
    </row>
    <row r="48" spans="1:7" ht="13.5" customHeight="1">
      <c r="A48" s="34" t="s">
        <v>24</v>
      </c>
      <c r="B48" s="155" t="s">
        <v>207</v>
      </c>
      <c r="C48" s="156"/>
      <c r="D48" s="123"/>
      <c r="E48" s="123"/>
      <c r="F48" s="355">
        <f>E27*1%</f>
        <v>890.9806</v>
      </c>
      <c r="G48" s="355"/>
    </row>
    <row r="49" spans="1:7" ht="13.5" customHeight="1">
      <c r="A49" s="71"/>
      <c r="B49" s="71"/>
      <c r="C49" s="71"/>
      <c r="D49" s="71"/>
      <c r="E49" s="71"/>
      <c r="F49" s="71"/>
      <c r="G49" s="71"/>
    </row>
    <row r="50" spans="1:9" s="71" customFormat="1" ht="15">
      <c r="A50" s="71" t="s">
        <v>55</v>
      </c>
      <c r="C50" s="71" t="s">
        <v>49</v>
      </c>
      <c r="F50" s="71" t="s">
        <v>93</v>
      </c>
      <c r="H50" s="35"/>
      <c r="I50" s="35"/>
    </row>
    <row r="51" spans="6:9" s="71" customFormat="1" ht="15">
      <c r="F51" s="132" t="s">
        <v>296</v>
      </c>
      <c r="H51" s="35"/>
      <c r="I51" s="35"/>
    </row>
    <row r="52" spans="1:9" s="71" customFormat="1" ht="13.5" customHeight="1">
      <c r="A52" s="71" t="s">
        <v>50</v>
      </c>
      <c r="H52" s="35"/>
      <c r="I52" s="35"/>
    </row>
    <row r="53" spans="3:7" s="71" customFormat="1" ht="15">
      <c r="C53" s="134" t="s">
        <v>51</v>
      </c>
      <c r="E53" s="134"/>
      <c r="F53" s="134"/>
      <c r="G53" s="134"/>
    </row>
    <row r="54" s="71" customFormat="1" ht="15"/>
  </sheetData>
  <sheetProtection/>
  <mergeCells count="23">
    <mergeCell ref="F46:G46"/>
    <mergeCell ref="B47:C47"/>
    <mergeCell ref="F47:G47"/>
    <mergeCell ref="B42:C42"/>
    <mergeCell ref="F48:G48"/>
    <mergeCell ref="F43:G43"/>
    <mergeCell ref="B46:C46"/>
    <mergeCell ref="A40:I40"/>
    <mergeCell ref="F42:G42"/>
    <mergeCell ref="F44:G44"/>
    <mergeCell ref="B43:C43"/>
    <mergeCell ref="B45:C45"/>
    <mergeCell ref="F45:G45"/>
    <mergeCell ref="B44:C44"/>
    <mergeCell ref="A12:I12"/>
    <mergeCell ref="A13:C13"/>
    <mergeCell ref="A35:C35"/>
    <mergeCell ref="A1:I1"/>
    <mergeCell ref="A2:I2"/>
    <mergeCell ref="A3:K3"/>
    <mergeCell ref="A5:I5"/>
    <mergeCell ref="A11:I11"/>
    <mergeCell ref="A10:I10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7030A0"/>
  </sheetPr>
  <dimension ref="A1:K54"/>
  <sheetViews>
    <sheetView zoomScalePageLayoutView="0" workbookViewId="0" topLeftCell="A22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0.421875" style="35" customWidth="1"/>
    <col min="3" max="3" width="13.2812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4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3" customHeight="1"/>
    <row r="7" spans="1:6" s="71" customFormat="1" ht="16.5" customHeight="1">
      <c r="A7" s="71" t="s">
        <v>2</v>
      </c>
      <c r="F7" s="132" t="s">
        <v>132</v>
      </c>
    </row>
    <row r="8" spans="1:6" s="71" customFormat="1" ht="15">
      <c r="A8" s="71" t="s">
        <v>3</v>
      </c>
      <c r="F8" s="132" t="s">
        <v>413</v>
      </c>
    </row>
    <row r="9" s="71" customFormat="1" ht="6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183572.3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'[1]Ленина 61.5'!$G$37</f>
        <v>1633.679999999993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'[1]Ленина 61.5'!$G$38</f>
        <v>-359744.2892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9" s="71" customFormat="1" ht="29.25">
      <c r="A19" s="79" t="s">
        <v>14</v>
      </c>
      <c r="B19" s="41" t="s">
        <v>15</v>
      </c>
      <c r="C19" s="141">
        <f>C20+C21+C22+C23</f>
        <v>9.969999999999999</v>
      </c>
      <c r="D19" s="80">
        <v>467444.07</v>
      </c>
      <c r="E19" s="80">
        <v>352633.74</v>
      </c>
      <c r="F19" s="80">
        <f aca="true" t="shared" si="0" ref="F19:F25">D19</f>
        <v>467444.07</v>
      </c>
      <c r="G19" s="81">
        <f>E19-D19</f>
        <v>-114810.33000000002</v>
      </c>
      <c r="H19" s="82">
        <f>C19</f>
        <v>9.969999999999999</v>
      </c>
      <c r="I19" s="175"/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156596.10770310933</v>
      </c>
      <c r="E20" s="87">
        <f>E19*I20</f>
        <v>118134.07137412236</v>
      </c>
      <c r="F20" s="87">
        <f t="shared" si="0"/>
        <v>156596.10770310933</v>
      </c>
      <c r="G20" s="88">
        <f aca="true" t="shared" si="1" ref="G20:G28">E20-D20</f>
        <v>-38462.03632898697</v>
      </c>
      <c r="H20" s="82">
        <f>C20</f>
        <v>3.34</v>
      </c>
      <c r="I20" s="71">
        <f>H20/H19</f>
        <v>0.3350050150451354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76422.6513640923</v>
      </c>
      <c r="E21" s="87">
        <f>E19*I21</f>
        <v>57652.25638916751</v>
      </c>
      <c r="F21" s="87">
        <f t="shared" si="0"/>
        <v>76422.6513640923</v>
      </c>
      <c r="G21" s="88">
        <f t="shared" si="1"/>
        <v>-18770.394974924784</v>
      </c>
      <c r="H21" s="82">
        <f>C21</f>
        <v>1.63</v>
      </c>
      <c r="I21" s="71">
        <f>H21/H19</f>
        <v>0.16349047141424275</v>
      </c>
    </row>
    <row r="22" spans="1:9" s="71" customFormat="1" ht="15">
      <c r="A22" s="85" t="s">
        <v>20</v>
      </c>
      <c r="B22" s="34" t="s">
        <v>21</v>
      </c>
      <c r="C22" s="103">
        <v>2.07</v>
      </c>
      <c r="D22" s="87">
        <f>D19*I22</f>
        <v>97052.07872617854</v>
      </c>
      <c r="E22" s="87">
        <f>E19*I22</f>
        <v>73214.828665998</v>
      </c>
      <c r="F22" s="87">
        <f t="shared" si="0"/>
        <v>97052.07872617854</v>
      </c>
      <c r="G22" s="88">
        <f t="shared" si="1"/>
        <v>-23837.25006018055</v>
      </c>
      <c r="H22" s="82">
        <f>C22</f>
        <v>2.07</v>
      </c>
      <c r="I22" s="71">
        <f>H22/H19</f>
        <v>0.20762286860581747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137373.23220661987</v>
      </c>
      <c r="E23" s="87">
        <f>E19*I23</f>
        <v>103632.58357071214</v>
      </c>
      <c r="F23" s="87">
        <f t="shared" si="0"/>
        <v>137373.23220661987</v>
      </c>
      <c r="G23" s="88">
        <f t="shared" si="1"/>
        <v>-33740.648635907724</v>
      </c>
      <c r="H23" s="82">
        <f>C23</f>
        <v>2.93</v>
      </c>
      <c r="I23" s="71">
        <f>H23/H19</f>
        <v>0.29388164493480445</v>
      </c>
    </row>
    <row r="24" spans="1:9" ht="15">
      <c r="A24" s="41" t="s">
        <v>25</v>
      </c>
      <c r="B24" s="41" t="s">
        <v>26</v>
      </c>
      <c r="C24" s="147">
        <v>0</v>
      </c>
      <c r="D24" s="81">
        <v>0</v>
      </c>
      <c r="E24" s="81">
        <v>0</v>
      </c>
      <c r="F24" s="80">
        <f t="shared" si="0"/>
        <v>0</v>
      </c>
      <c r="G24" s="81">
        <f t="shared" si="1"/>
        <v>0</v>
      </c>
      <c r="H24" s="39"/>
      <c r="I24" s="39"/>
    </row>
    <row r="25" spans="1:9" ht="15">
      <c r="A25" s="41" t="s">
        <v>27</v>
      </c>
      <c r="B25" s="41" t="s">
        <v>28</v>
      </c>
      <c r="C25" s="147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  <c r="H25" s="39"/>
      <c r="I25" s="39"/>
    </row>
    <row r="26" spans="1:9" ht="15">
      <c r="A26" s="41" t="s">
        <v>29</v>
      </c>
      <c r="B26" s="41" t="s">
        <v>95</v>
      </c>
      <c r="C26" s="147">
        <v>0</v>
      </c>
      <c r="D26" s="81">
        <v>0</v>
      </c>
      <c r="E26" s="81">
        <v>223.15</v>
      </c>
      <c r="F26" s="81">
        <v>0</v>
      </c>
      <c r="G26" s="81">
        <f t="shared" si="1"/>
        <v>223.15</v>
      </c>
      <c r="H26" s="39"/>
      <c r="I26" s="39"/>
    </row>
    <row r="27" spans="1:9" ht="15">
      <c r="A27" s="41" t="s">
        <v>31</v>
      </c>
      <c r="B27" s="41" t="s">
        <v>119</v>
      </c>
      <c r="C27" s="147">
        <v>1.99</v>
      </c>
      <c r="D27" s="81">
        <v>93282.48</v>
      </c>
      <c r="E27" s="81">
        <v>93049.55</v>
      </c>
      <c r="F27" s="91">
        <f>F43</f>
        <v>60522.275499999996</v>
      </c>
      <c r="G27" s="81">
        <f t="shared" si="1"/>
        <v>-232.92999999999302</v>
      </c>
      <c r="H27" s="39"/>
      <c r="I27" s="39"/>
    </row>
    <row r="28" spans="1:9" ht="15">
      <c r="A28" s="227">
        <v>6</v>
      </c>
      <c r="B28" s="90" t="s">
        <v>170</v>
      </c>
      <c r="C28" s="148">
        <v>0</v>
      </c>
      <c r="D28" s="81">
        <v>0</v>
      </c>
      <c r="E28" s="81">
        <v>0</v>
      </c>
      <c r="F28" s="91">
        <f>D28</f>
        <v>0</v>
      </c>
      <c r="G28" s="81">
        <f t="shared" si="1"/>
        <v>0</v>
      </c>
      <c r="H28" s="39"/>
      <c r="I28" s="39"/>
    </row>
    <row r="29" spans="1:9" ht="15">
      <c r="A29" s="227">
        <f>A28+1</f>
        <v>7</v>
      </c>
      <c r="B29" s="41" t="s">
        <v>36</v>
      </c>
      <c r="C29" s="148"/>
      <c r="D29" s="81">
        <f>SUM(D30:D33)</f>
        <v>2005550.73</v>
      </c>
      <c r="E29" s="81">
        <f>SUM(E30:E33)</f>
        <v>2131236.33</v>
      </c>
      <c r="F29" s="81">
        <f>SUM(F30:F33)</f>
        <v>2005550.73</v>
      </c>
      <c r="G29" s="81">
        <f>SUM(G30:G33)</f>
        <v>125685.59999999989</v>
      </c>
      <c r="H29" s="39"/>
      <c r="I29" s="39"/>
    </row>
    <row r="30" spans="1:7" ht="15">
      <c r="A30" s="228" t="s">
        <v>37</v>
      </c>
      <c r="B30" s="34" t="s">
        <v>96</v>
      </c>
      <c r="C30" s="103" t="s">
        <v>300</v>
      </c>
      <c r="D30" s="88">
        <v>30215.64</v>
      </c>
      <c r="E30" s="88">
        <v>30551.86</v>
      </c>
      <c r="F30" s="88">
        <f>D30</f>
        <v>30215.64</v>
      </c>
      <c r="G30" s="88">
        <f>E30-D30</f>
        <v>336.22000000000116</v>
      </c>
    </row>
    <row r="31" spans="1:7" ht="15">
      <c r="A31" s="228" t="s">
        <v>39</v>
      </c>
      <c r="B31" s="34" t="s">
        <v>142</v>
      </c>
      <c r="C31" s="103" t="s">
        <v>315</v>
      </c>
      <c r="D31" s="88">
        <v>280333.33</v>
      </c>
      <c r="E31" s="88">
        <v>283500.39</v>
      </c>
      <c r="F31" s="88">
        <f>D31</f>
        <v>280333.33</v>
      </c>
      <c r="G31" s="88">
        <f>E31-D31</f>
        <v>3167.0599999999977</v>
      </c>
    </row>
    <row r="32" spans="1:7" ht="15">
      <c r="A32" s="228" t="s">
        <v>42</v>
      </c>
      <c r="B32" s="34" t="s">
        <v>143</v>
      </c>
      <c r="C32" s="149" t="s">
        <v>382</v>
      </c>
      <c r="D32" s="88">
        <v>490329.24</v>
      </c>
      <c r="E32" s="88">
        <v>495729.95</v>
      </c>
      <c r="F32" s="88">
        <f>D32</f>
        <v>490329.24</v>
      </c>
      <c r="G32" s="88">
        <f>E32-D32</f>
        <v>5400.710000000021</v>
      </c>
    </row>
    <row r="33" spans="1:7" ht="15">
      <c r="A33" s="228" t="s">
        <v>41</v>
      </c>
      <c r="B33" s="34" t="s">
        <v>43</v>
      </c>
      <c r="C33" s="103" t="s">
        <v>383</v>
      </c>
      <c r="D33" s="88">
        <v>1204672.52</v>
      </c>
      <c r="E33" s="88">
        <v>1321454.13</v>
      </c>
      <c r="F33" s="88">
        <f>D33</f>
        <v>1204672.52</v>
      </c>
      <c r="G33" s="88">
        <f>E33-D33</f>
        <v>116781.60999999987</v>
      </c>
    </row>
    <row r="34" spans="1:10" s="106" customFormat="1" ht="5.25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D13+D19+D24+D25+D26+D27+D28+D29-E19-E24-E25-E26-E27-E28-E29</f>
        <v>172706.81000000006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G15+E26-F26</f>
        <v>1856.829999999993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-327217.0147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ht="26.25" customHeight="1">
      <c r="A40" s="372" t="s">
        <v>44</v>
      </c>
      <c r="B40" s="372"/>
      <c r="C40" s="372"/>
      <c r="D40" s="372"/>
      <c r="E40" s="372"/>
      <c r="F40" s="372"/>
      <c r="G40" s="372"/>
      <c r="H40" s="372"/>
      <c r="I40" s="372"/>
    </row>
    <row r="41" ht="3.75" customHeight="1"/>
    <row r="42" spans="1:7" s="179" customFormat="1" ht="28.5" customHeight="1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</row>
    <row r="43" spans="1:7" s="119" customFormat="1" ht="13.5" customHeight="1">
      <c r="A43" s="113" t="s">
        <v>47</v>
      </c>
      <c r="B43" s="342" t="s">
        <v>114</v>
      </c>
      <c r="C43" s="345"/>
      <c r="D43" s="115"/>
      <c r="E43" s="115"/>
      <c r="F43" s="356">
        <f>SUM(F44:L49)</f>
        <v>60522.275499999996</v>
      </c>
      <c r="G43" s="351"/>
    </row>
    <row r="44" spans="1:7" ht="13.5" customHeight="1">
      <c r="A44" s="34" t="s">
        <v>16</v>
      </c>
      <c r="B44" s="325" t="s">
        <v>414</v>
      </c>
      <c r="C44" s="327"/>
      <c r="D44" s="123" t="s">
        <v>177</v>
      </c>
      <c r="E44" s="123">
        <v>200</v>
      </c>
      <c r="F44" s="366">
        <v>3710</v>
      </c>
      <c r="G44" s="367"/>
    </row>
    <row r="45" spans="1:7" ht="13.5" customHeight="1">
      <c r="A45" s="34" t="s">
        <v>18</v>
      </c>
      <c r="B45" s="325" t="s">
        <v>183</v>
      </c>
      <c r="C45" s="327"/>
      <c r="D45" s="123" t="s">
        <v>177</v>
      </c>
      <c r="E45" s="123">
        <v>200</v>
      </c>
      <c r="F45" s="355">
        <v>1402.2</v>
      </c>
      <c r="G45" s="355"/>
    </row>
    <row r="46" spans="1:7" ht="13.5" customHeight="1">
      <c r="A46" s="34" t="s">
        <v>20</v>
      </c>
      <c r="B46" s="325" t="s">
        <v>208</v>
      </c>
      <c r="C46" s="327"/>
      <c r="D46" s="123" t="s">
        <v>352</v>
      </c>
      <c r="E46" s="123">
        <v>0.03</v>
      </c>
      <c r="F46" s="366">
        <v>2059.58</v>
      </c>
      <c r="G46" s="367"/>
    </row>
    <row r="47" spans="1:7" ht="13.5" customHeight="1">
      <c r="A47" s="34" t="s">
        <v>22</v>
      </c>
      <c r="B47" s="325" t="s">
        <v>663</v>
      </c>
      <c r="C47" s="350"/>
      <c r="D47" s="123"/>
      <c r="E47" s="159" t="s">
        <v>286</v>
      </c>
      <c r="F47" s="344">
        <v>8820</v>
      </c>
      <c r="G47" s="344"/>
    </row>
    <row r="48" spans="1:7" ht="13.5" customHeight="1">
      <c r="A48" s="34" t="s">
        <v>24</v>
      </c>
      <c r="B48" s="325" t="s">
        <v>705</v>
      </c>
      <c r="C48" s="350"/>
      <c r="D48" s="123"/>
      <c r="E48" s="159"/>
      <c r="F48" s="344">
        <v>43600</v>
      </c>
      <c r="G48" s="344"/>
    </row>
    <row r="49" spans="1:9" ht="13.5" customHeight="1">
      <c r="A49" s="34" t="s">
        <v>106</v>
      </c>
      <c r="B49" s="155" t="s">
        <v>207</v>
      </c>
      <c r="C49" s="156"/>
      <c r="D49" s="123"/>
      <c r="E49" s="123"/>
      <c r="F49" s="355">
        <f>E27*1%</f>
        <v>930.4955</v>
      </c>
      <c r="G49" s="355"/>
      <c r="H49" s="71"/>
      <c r="I49" s="71"/>
    </row>
    <row r="50" spans="1:7" ht="13.5" customHeight="1">
      <c r="A50" s="71"/>
      <c r="B50" s="71"/>
      <c r="C50" s="71"/>
      <c r="D50" s="71"/>
      <c r="E50" s="71"/>
      <c r="F50" s="71"/>
      <c r="G50" s="71"/>
    </row>
    <row r="51" spans="1:7" ht="13.5" customHeight="1">
      <c r="A51" s="71" t="s">
        <v>55</v>
      </c>
      <c r="B51" s="71"/>
      <c r="C51" s="71" t="s">
        <v>49</v>
      </c>
      <c r="D51" s="71"/>
      <c r="E51" s="71"/>
      <c r="F51" s="71" t="s">
        <v>93</v>
      </c>
      <c r="G51" s="71"/>
    </row>
    <row r="52" spans="1:7" ht="13.5" customHeight="1">
      <c r="A52" s="71"/>
      <c r="B52" s="71"/>
      <c r="C52" s="71"/>
      <c r="D52" s="71"/>
      <c r="E52" s="71"/>
      <c r="F52" s="132" t="s">
        <v>296</v>
      </c>
      <c r="G52" s="71"/>
    </row>
    <row r="53" spans="1:7" ht="13.5" customHeight="1">
      <c r="A53" s="71" t="s">
        <v>50</v>
      </c>
      <c r="B53" s="71"/>
      <c r="C53" s="71"/>
      <c r="D53" s="71"/>
      <c r="E53" s="71"/>
      <c r="F53" s="71"/>
      <c r="G53" s="71"/>
    </row>
    <row r="54" spans="1:7" ht="13.5" customHeight="1">
      <c r="A54" s="71"/>
      <c r="B54" s="71"/>
      <c r="C54" s="134" t="s">
        <v>51</v>
      </c>
      <c r="D54" s="71"/>
      <c r="E54" s="134"/>
      <c r="F54" s="134"/>
      <c r="G54" s="134"/>
    </row>
    <row r="55" s="71" customFormat="1" ht="15"/>
    <row r="56" s="71" customFormat="1" ht="15"/>
    <row r="57" s="71" customFormat="1" ht="15"/>
  </sheetData>
  <sheetProtection/>
  <mergeCells count="25">
    <mergeCell ref="F44:G44"/>
    <mergeCell ref="F45:G45"/>
    <mergeCell ref="F43:G43"/>
    <mergeCell ref="F47:G47"/>
    <mergeCell ref="A12:I12"/>
    <mergeCell ref="A13:C13"/>
    <mergeCell ref="A35:C35"/>
    <mergeCell ref="B44:C44"/>
    <mergeCell ref="B47:C47"/>
    <mergeCell ref="B48:C48"/>
    <mergeCell ref="F48:G48"/>
    <mergeCell ref="F49:G49"/>
    <mergeCell ref="B45:C45"/>
    <mergeCell ref="A40:I40"/>
    <mergeCell ref="F46:G46"/>
    <mergeCell ref="F42:G42"/>
    <mergeCell ref="B46:C46"/>
    <mergeCell ref="B42:C42"/>
    <mergeCell ref="B43:C43"/>
    <mergeCell ref="A11:I11"/>
    <mergeCell ref="A1:I1"/>
    <mergeCell ref="A2:I2"/>
    <mergeCell ref="A3:K3"/>
    <mergeCell ref="A5:I5"/>
    <mergeCell ref="A10:I10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7030A0"/>
  </sheetPr>
  <dimension ref="A1:N55"/>
  <sheetViews>
    <sheetView zoomScalePageLayoutView="0" workbookViewId="0" topLeftCell="A28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0.7109375" style="35" customWidth="1"/>
    <col min="3" max="3" width="14.140625" style="35" customWidth="1"/>
    <col min="4" max="5" width="12.7109375" style="35" customWidth="1"/>
    <col min="6" max="6" width="14.57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4" width="9.140625" style="35" customWidth="1"/>
    <col min="15" max="15" width="11.421875" style="35" bestFit="1" customWidth="1"/>
    <col min="16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4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3" customHeight="1"/>
    <row r="7" spans="1:6" s="71" customFormat="1" ht="16.5" customHeight="1">
      <c r="A7" s="71" t="s">
        <v>2</v>
      </c>
      <c r="F7" s="132" t="s">
        <v>130</v>
      </c>
    </row>
    <row r="8" spans="1:6" s="71" customFormat="1" ht="15">
      <c r="A8" s="71" t="s">
        <v>3</v>
      </c>
      <c r="F8" s="132" t="s">
        <v>392</v>
      </c>
    </row>
    <row r="9" s="71" customFormat="1" ht="6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321288.34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'[1]Билибина 26'!$G$36</f>
        <v>0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'[1]Билибина 26'!$G$37</f>
        <v>-32180.432000000008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29.25">
      <c r="A19" s="79" t="s">
        <v>14</v>
      </c>
      <c r="B19" s="41" t="s">
        <v>15</v>
      </c>
      <c r="C19" s="141">
        <f>C20+C21+C22+C23</f>
        <v>9.53</v>
      </c>
      <c r="D19" s="80">
        <v>352560.39</v>
      </c>
      <c r="E19" s="80">
        <v>345153.31</v>
      </c>
      <c r="F19" s="80">
        <f aca="true" t="shared" si="0" ref="F19:F26">D19</f>
        <v>352560.39</v>
      </c>
      <c r="G19" s="81">
        <f aca="true" t="shared" si="1" ref="G19:G28">E19-D19</f>
        <v>-7407.080000000016</v>
      </c>
      <c r="H19" s="82">
        <f aca="true" t="shared" si="2" ref="H19:H24"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123562.61307450157</v>
      </c>
      <c r="E20" s="87">
        <f>E19*I20</f>
        <v>120966.63750262329</v>
      </c>
      <c r="F20" s="87">
        <f t="shared" si="0"/>
        <v>123562.61307450157</v>
      </c>
      <c r="G20" s="88">
        <f t="shared" si="1"/>
        <v>-2595.9755718782835</v>
      </c>
      <c r="H20" s="82">
        <f t="shared" si="2"/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60301.51476390347</v>
      </c>
      <c r="E21" s="87">
        <f>E19*I21</f>
        <v>59034.61650577125</v>
      </c>
      <c r="F21" s="87">
        <f t="shared" si="0"/>
        <v>60301.51476390347</v>
      </c>
      <c r="G21" s="88">
        <f t="shared" si="1"/>
        <v>-1266.8982581322198</v>
      </c>
      <c r="H21" s="82">
        <f t="shared" si="2"/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60301.51476390347</v>
      </c>
      <c r="E22" s="87">
        <f>E19*I22</f>
        <v>59034.61650577125</v>
      </c>
      <c r="F22" s="87">
        <f t="shared" si="0"/>
        <v>60301.51476390347</v>
      </c>
      <c r="G22" s="88">
        <f t="shared" si="1"/>
        <v>-1266.8982581322198</v>
      </c>
      <c r="H22" s="82">
        <f t="shared" si="2"/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108394.74739769152</v>
      </c>
      <c r="E23" s="87">
        <f>E19*I23</f>
        <v>106117.43948583423</v>
      </c>
      <c r="F23" s="87">
        <f t="shared" si="0"/>
        <v>108394.74739769152</v>
      </c>
      <c r="G23" s="88">
        <f t="shared" si="1"/>
        <v>-2277.307911857293</v>
      </c>
      <c r="H23" s="82">
        <f t="shared" si="2"/>
        <v>2.93</v>
      </c>
      <c r="I23" s="71">
        <f>H23/H19</f>
        <v>0.30745015739769155</v>
      </c>
    </row>
    <row r="24" spans="1:8" ht="15">
      <c r="A24" s="41" t="s">
        <v>25</v>
      </c>
      <c r="B24" s="146" t="s">
        <v>141</v>
      </c>
      <c r="C24" s="46">
        <v>0</v>
      </c>
      <c r="D24" s="81">
        <v>0</v>
      </c>
      <c r="E24" s="81">
        <v>0</v>
      </c>
      <c r="F24" s="81">
        <f t="shared" si="0"/>
        <v>0</v>
      </c>
      <c r="G24" s="81">
        <f t="shared" si="1"/>
        <v>0</v>
      </c>
      <c r="H24" s="35">
        <f t="shared" si="2"/>
        <v>0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7" ht="15">
      <c r="A26" s="41" t="s">
        <v>29</v>
      </c>
      <c r="B26" s="146" t="s">
        <v>170</v>
      </c>
      <c r="C26" s="147">
        <v>0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</row>
    <row r="27" spans="1:14" ht="15">
      <c r="A27" s="41" t="s">
        <v>31</v>
      </c>
      <c r="B27" s="146" t="s">
        <v>119</v>
      </c>
      <c r="C27" s="101">
        <v>1.8</v>
      </c>
      <c r="D27" s="81">
        <v>66279.6</v>
      </c>
      <c r="E27" s="81">
        <v>65193.33</v>
      </c>
      <c r="F27" s="91">
        <f>F42</f>
        <v>141535.4333</v>
      </c>
      <c r="G27" s="81">
        <f t="shared" si="1"/>
        <v>-1086.270000000004</v>
      </c>
      <c r="N27" s="35">
        <v>0</v>
      </c>
    </row>
    <row r="28" spans="1:7" ht="15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91">
        <v>0</v>
      </c>
      <c r="G28" s="81">
        <f t="shared" si="1"/>
        <v>0</v>
      </c>
    </row>
    <row r="29" spans="1:7" ht="15">
      <c r="A29" s="41" t="s">
        <v>35</v>
      </c>
      <c r="B29" s="140" t="s">
        <v>36</v>
      </c>
      <c r="C29" s="101"/>
      <c r="D29" s="81">
        <f>SUM(D30:D33)</f>
        <v>1507388.8900000001</v>
      </c>
      <c r="E29" s="81">
        <f>SUM(E30:E33)</f>
        <v>1483802.29</v>
      </c>
      <c r="F29" s="81">
        <f>SUM(F30:F33)</f>
        <v>1507388.8900000001</v>
      </c>
      <c r="G29" s="81">
        <f>SUM(G30:G33)</f>
        <v>-23586.600000000028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11090.4</v>
      </c>
      <c r="E30" s="88">
        <v>10993.83</v>
      </c>
      <c r="F30" s="88">
        <f>D30</f>
        <v>11090.4</v>
      </c>
      <c r="G30" s="88">
        <f>E30-D30</f>
        <v>-96.56999999999971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489068.81</v>
      </c>
      <c r="E31" s="88">
        <v>493802.91</v>
      </c>
      <c r="F31" s="88">
        <f>D31</f>
        <v>489068.81</v>
      </c>
      <c r="G31" s="88">
        <f>E31-D31</f>
        <v>4734.099999999977</v>
      </c>
    </row>
    <row r="32" spans="1:7" ht="15">
      <c r="A32" s="34" t="s">
        <v>42</v>
      </c>
      <c r="B32" s="34" t="s">
        <v>40</v>
      </c>
      <c r="C32" s="149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7" ht="15.75" thickBot="1">
      <c r="A33" s="34" t="s">
        <v>41</v>
      </c>
      <c r="B33" s="34" t="s">
        <v>43</v>
      </c>
      <c r="C33" s="103" t="s">
        <v>383</v>
      </c>
      <c r="D33" s="88">
        <v>1007229.68</v>
      </c>
      <c r="E33" s="88">
        <v>979005.55</v>
      </c>
      <c r="F33" s="88">
        <f>D33</f>
        <v>1007229.68</v>
      </c>
      <c r="G33" s="88">
        <f>E33-D33</f>
        <v>-28224.130000000005</v>
      </c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353368.29000000004</v>
      </c>
      <c r="E34" s="70"/>
      <c r="F34" s="70"/>
      <c r="G34" s="70"/>
      <c r="H34" s="105"/>
      <c r="I34" s="105"/>
      <c r="J34" s="105"/>
    </row>
    <row r="35" spans="1:9" s="71" customFormat="1" ht="8.25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0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-108522.53530000002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ht="28.5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0" ht="3.75" customHeight="1"/>
    <row r="41" spans="1:7" s="179" customFormat="1" ht="28.5" customHeight="1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</row>
    <row r="42" spans="1:7" s="119" customFormat="1" ht="13.5" customHeight="1">
      <c r="A42" s="113" t="s">
        <v>47</v>
      </c>
      <c r="B42" s="342" t="s">
        <v>114</v>
      </c>
      <c r="C42" s="345"/>
      <c r="D42" s="115"/>
      <c r="E42" s="115"/>
      <c r="F42" s="356">
        <f>SUM(F43:L47)</f>
        <v>141535.4333</v>
      </c>
      <c r="G42" s="351"/>
    </row>
    <row r="43" spans="1:7" ht="27.75" customHeight="1">
      <c r="A43" s="34" t="s">
        <v>16</v>
      </c>
      <c r="B43" s="325" t="s">
        <v>390</v>
      </c>
      <c r="C43" s="327"/>
      <c r="D43" s="123"/>
      <c r="E43" s="123" t="s">
        <v>317</v>
      </c>
      <c r="F43" s="366">
        <v>1083.5</v>
      </c>
      <c r="G43" s="367"/>
    </row>
    <row r="44" spans="1:7" ht="39" customHeight="1">
      <c r="A44" s="34" t="s">
        <v>18</v>
      </c>
      <c r="B44" s="325" t="s">
        <v>385</v>
      </c>
      <c r="C44" s="327"/>
      <c r="D44" s="123" t="s">
        <v>285</v>
      </c>
      <c r="E44" s="123">
        <v>1</v>
      </c>
      <c r="F44" s="355">
        <v>10000</v>
      </c>
      <c r="G44" s="355"/>
    </row>
    <row r="45" spans="1:7" ht="13.5" customHeight="1">
      <c r="A45" s="34" t="s">
        <v>20</v>
      </c>
      <c r="B45" s="325" t="s">
        <v>185</v>
      </c>
      <c r="C45" s="327"/>
      <c r="D45" s="123" t="s">
        <v>285</v>
      </c>
      <c r="E45" s="123">
        <v>1</v>
      </c>
      <c r="F45" s="366">
        <v>120000</v>
      </c>
      <c r="G45" s="367"/>
    </row>
    <row r="46" spans="1:7" ht="13.5" customHeight="1">
      <c r="A46" s="34" t="s">
        <v>22</v>
      </c>
      <c r="B46" s="325" t="s">
        <v>663</v>
      </c>
      <c r="C46" s="350"/>
      <c r="D46" s="123"/>
      <c r="E46" s="159" t="s">
        <v>286</v>
      </c>
      <c r="F46" s="344">
        <v>9800</v>
      </c>
      <c r="G46" s="344"/>
    </row>
    <row r="47" spans="1:7" s="71" customFormat="1" ht="13.5" customHeight="1">
      <c r="A47" s="34" t="s">
        <v>24</v>
      </c>
      <c r="B47" s="155" t="s">
        <v>207</v>
      </c>
      <c r="C47" s="156"/>
      <c r="D47" s="123"/>
      <c r="E47" s="123"/>
      <c r="F47" s="355">
        <f>E27*1%</f>
        <v>651.9333</v>
      </c>
      <c r="G47" s="355"/>
    </row>
    <row r="48" spans="8:9" s="71" customFormat="1" ht="15">
      <c r="H48" s="35"/>
      <c r="I48" s="35"/>
    </row>
    <row r="49" spans="1:9" s="71" customFormat="1" ht="15">
      <c r="A49" s="71" t="s">
        <v>55</v>
      </c>
      <c r="C49" s="71" t="s">
        <v>49</v>
      </c>
      <c r="F49" s="71" t="s">
        <v>93</v>
      </c>
      <c r="H49" s="35"/>
      <c r="I49" s="35"/>
    </row>
    <row r="50" spans="6:9" s="71" customFormat="1" ht="15">
      <c r="F50" s="132" t="s">
        <v>296</v>
      </c>
      <c r="H50" s="35"/>
      <c r="I50" s="35"/>
    </row>
    <row r="51" spans="1:9" s="71" customFormat="1" ht="15">
      <c r="A51" s="71" t="s">
        <v>50</v>
      </c>
      <c r="H51" s="35"/>
      <c r="I51" s="35"/>
    </row>
    <row r="52" spans="1:7" ht="15">
      <c r="A52" s="71"/>
      <c r="B52" s="71"/>
      <c r="C52" s="134" t="s">
        <v>51</v>
      </c>
      <c r="D52" s="71"/>
      <c r="E52" s="134"/>
      <c r="F52" s="134"/>
      <c r="G52" s="134"/>
    </row>
    <row r="53" spans="1:9" ht="15">
      <c r="A53" s="71"/>
      <c r="B53" s="71"/>
      <c r="C53" s="71"/>
      <c r="D53" s="71"/>
      <c r="E53" s="71"/>
      <c r="F53" s="71"/>
      <c r="G53" s="71"/>
      <c r="H53" s="71"/>
      <c r="I53" s="71"/>
    </row>
    <row r="54" spans="1:9" ht="15">
      <c r="A54" s="71"/>
      <c r="B54" s="71"/>
      <c r="C54" s="71"/>
      <c r="D54" s="71"/>
      <c r="E54" s="71"/>
      <c r="F54" s="71"/>
      <c r="G54" s="71"/>
      <c r="H54" s="71"/>
      <c r="I54" s="71"/>
    </row>
    <row r="55" spans="1:9" ht="15">
      <c r="A55" s="71"/>
      <c r="B55" s="71"/>
      <c r="C55" s="71"/>
      <c r="D55" s="71"/>
      <c r="E55" s="71"/>
      <c r="F55" s="71"/>
      <c r="G55" s="71"/>
      <c r="H55" s="71"/>
      <c r="I55" s="71"/>
    </row>
  </sheetData>
  <sheetProtection/>
  <mergeCells count="23">
    <mergeCell ref="F47:G47"/>
    <mergeCell ref="B46:C46"/>
    <mergeCell ref="F46:G46"/>
    <mergeCell ref="F45:G45"/>
    <mergeCell ref="B41:C41"/>
    <mergeCell ref="B44:C44"/>
    <mergeCell ref="F44:G44"/>
    <mergeCell ref="B43:C43"/>
    <mergeCell ref="B45:C45"/>
    <mergeCell ref="F43:G43"/>
    <mergeCell ref="F42:G42"/>
    <mergeCell ref="A13:C13"/>
    <mergeCell ref="A34:C34"/>
    <mergeCell ref="A39:I39"/>
    <mergeCell ref="F41:G41"/>
    <mergeCell ref="B42:C42"/>
    <mergeCell ref="A1:I1"/>
    <mergeCell ref="A2:I2"/>
    <mergeCell ref="A3:K3"/>
    <mergeCell ref="A5:I5"/>
    <mergeCell ref="A10:I10"/>
    <mergeCell ref="A12:I12"/>
    <mergeCell ref="A11:I11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7030A0"/>
  </sheetPr>
  <dimension ref="A1:K56"/>
  <sheetViews>
    <sheetView zoomScalePageLayoutView="0" workbookViewId="0" topLeftCell="A25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4.28125" style="35" customWidth="1"/>
    <col min="3" max="3" width="12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3.42187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4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3" customHeight="1"/>
    <row r="7" spans="1:6" s="71" customFormat="1" ht="16.5" customHeight="1">
      <c r="A7" s="71" t="s">
        <v>2</v>
      </c>
      <c r="F7" s="132" t="s">
        <v>393</v>
      </c>
    </row>
    <row r="8" spans="1:6" s="71" customFormat="1" ht="15">
      <c r="A8" s="71" t="s">
        <v>3</v>
      </c>
      <c r="F8" s="132" t="s">
        <v>394</v>
      </c>
    </row>
    <row r="9" s="71" customFormat="1" ht="6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0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564</v>
      </c>
      <c r="B15" s="68"/>
      <c r="C15" s="68"/>
      <c r="D15" s="73"/>
      <c r="E15" s="74"/>
      <c r="F15" s="74"/>
      <c r="G15" s="151">
        <v>0</v>
      </c>
      <c r="H15" s="66"/>
      <c r="I15" s="66"/>
    </row>
    <row r="16" spans="1:9" s="71" customFormat="1" ht="15.75" thickBot="1">
      <c r="A16" s="67" t="s">
        <v>565</v>
      </c>
      <c r="B16" s="68"/>
      <c r="C16" s="68"/>
      <c r="D16" s="73"/>
      <c r="E16" s="74"/>
      <c r="F16" s="74"/>
      <c r="G16" s="151">
        <v>0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29.25">
      <c r="A19" s="79" t="s">
        <v>14</v>
      </c>
      <c r="B19" s="41" t="s">
        <v>15</v>
      </c>
      <c r="C19" s="141">
        <f>C20+C21+C22+C23</f>
        <v>9.53</v>
      </c>
      <c r="D19" s="80">
        <v>392396.06</v>
      </c>
      <c r="E19" s="80">
        <v>372571.33</v>
      </c>
      <c r="F19" s="80">
        <f aca="true" t="shared" si="0" ref="F19:F27">D19</f>
        <v>392396.06</v>
      </c>
      <c r="G19" s="81">
        <f aca="true" t="shared" si="1" ref="G19:G29">E19-D19</f>
        <v>-19824.72999999998</v>
      </c>
      <c r="H19" s="82">
        <f aca="true" t="shared" si="2" ref="H19:H24"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137523.9077019937</v>
      </c>
      <c r="E20" s="87">
        <f>E19*I20</f>
        <v>130575.89110178384</v>
      </c>
      <c r="F20" s="87">
        <f t="shared" si="0"/>
        <v>137523.9077019937</v>
      </c>
      <c r="G20" s="88">
        <f t="shared" si="1"/>
        <v>-6948.01660020987</v>
      </c>
      <c r="H20" s="82">
        <f t="shared" si="2"/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67114.96094438616</v>
      </c>
      <c r="E21" s="87">
        <f>E19*I21</f>
        <v>63724.162423924456</v>
      </c>
      <c r="F21" s="87">
        <f t="shared" si="0"/>
        <v>67114.96094438616</v>
      </c>
      <c r="G21" s="88">
        <f t="shared" si="1"/>
        <v>-3390.7985204617</v>
      </c>
      <c r="H21" s="82">
        <f t="shared" si="2"/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67114.96094438616</v>
      </c>
      <c r="E22" s="87">
        <f>E19*I22</f>
        <v>63724.162423924456</v>
      </c>
      <c r="F22" s="87">
        <f t="shared" si="0"/>
        <v>67114.96094438616</v>
      </c>
      <c r="G22" s="88">
        <f t="shared" si="1"/>
        <v>-3390.7985204617</v>
      </c>
      <c r="H22" s="82">
        <f t="shared" si="2"/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120642.23040923402</v>
      </c>
      <c r="E23" s="87">
        <f>E19*I23</f>
        <v>114547.11405036728</v>
      </c>
      <c r="F23" s="87">
        <f t="shared" si="0"/>
        <v>120642.23040923402</v>
      </c>
      <c r="G23" s="88">
        <f t="shared" si="1"/>
        <v>-6095.1163588667405</v>
      </c>
      <c r="H23" s="82">
        <f t="shared" si="2"/>
        <v>2.93</v>
      </c>
      <c r="I23" s="71">
        <f>H23/H19</f>
        <v>0.30745015739769155</v>
      </c>
    </row>
    <row r="24" spans="1:8" s="71" customFormat="1" ht="15">
      <c r="A24" s="41" t="s">
        <v>25</v>
      </c>
      <c r="B24" s="41" t="s">
        <v>26</v>
      </c>
      <c r="C24" s="141">
        <v>3.72</v>
      </c>
      <c r="D24" s="80">
        <v>152518.73</v>
      </c>
      <c r="E24" s="80">
        <v>145096.28</v>
      </c>
      <c r="F24" s="80">
        <f>D24</f>
        <v>152518.73</v>
      </c>
      <c r="G24" s="81">
        <f t="shared" si="1"/>
        <v>-7422.450000000012</v>
      </c>
      <c r="H24" s="82">
        <f t="shared" si="2"/>
        <v>3.72</v>
      </c>
    </row>
    <row r="25" spans="1:7" ht="39.75" customHeight="1">
      <c r="A25" s="41" t="s">
        <v>27</v>
      </c>
      <c r="B25" s="90" t="s">
        <v>566</v>
      </c>
      <c r="C25" s="46">
        <v>2.51</v>
      </c>
      <c r="D25" s="81">
        <v>277531.24</v>
      </c>
      <c r="E25" s="81">
        <v>255681.91</v>
      </c>
      <c r="F25" s="81">
        <f t="shared" si="0"/>
        <v>277531.24</v>
      </c>
      <c r="G25" s="81">
        <f t="shared" si="1"/>
        <v>-21849.329999999987</v>
      </c>
    </row>
    <row r="26" spans="1:7" ht="15">
      <c r="A26" s="41" t="s">
        <v>29</v>
      </c>
      <c r="B26" s="90" t="s">
        <v>28</v>
      </c>
      <c r="C26" s="101">
        <v>0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</row>
    <row r="27" spans="1:7" ht="15.75" customHeight="1">
      <c r="A27" s="41" t="s">
        <v>31</v>
      </c>
      <c r="B27" s="90" t="s">
        <v>170</v>
      </c>
      <c r="C27" s="147">
        <v>39.62</v>
      </c>
      <c r="D27" s="81">
        <v>0</v>
      </c>
      <c r="E27" s="81">
        <v>0</v>
      </c>
      <c r="F27" s="81">
        <f t="shared" si="0"/>
        <v>0</v>
      </c>
      <c r="G27" s="81">
        <f t="shared" si="1"/>
        <v>0</v>
      </c>
    </row>
    <row r="28" spans="1:7" ht="15">
      <c r="A28" s="41" t="s">
        <v>225</v>
      </c>
      <c r="B28" s="90" t="s">
        <v>119</v>
      </c>
      <c r="C28" s="101">
        <v>1.8</v>
      </c>
      <c r="D28" s="81">
        <v>73964.88</v>
      </c>
      <c r="E28" s="81">
        <v>70370.1</v>
      </c>
      <c r="F28" s="91">
        <f>F43</f>
        <v>40443.641</v>
      </c>
      <c r="G28" s="81">
        <f t="shared" si="1"/>
        <v>-3594.779999999999</v>
      </c>
    </row>
    <row r="29" spans="1:7" ht="15">
      <c r="A29" s="41" t="s">
        <v>395</v>
      </c>
      <c r="B29" s="41" t="s">
        <v>34</v>
      </c>
      <c r="C29" s="46">
        <v>0</v>
      </c>
      <c r="D29" s="81">
        <v>0</v>
      </c>
      <c r="E29" s="81">
        <v>0</v>
      </c>
      <c r="F29" s="91">
        <v>0</v>
      </c>
      <c r="G29" s="81">
        <f t="shared" si="1"/>
        <v>0</v>
      </c>
    </row>
    <row r="30" spans="1:7" ht="15">
      <c r="A30" s="41" t="s">
        <v>230</v>
      </c>
      <c r="B30" s="41" t="s">
        <v>36</v>
      </c>
      <c r="C30" s="101"/>
      <c r="D30" s="81">
        <f>SUM(D31:D34)</f>
        <v>93673.56000000001</v>
      </c>
      <c r="E30" s="81">
        <f>SUM(E31:E34)</f>
        <v>91993.48000000001</v>
      </c>
      <c r="F30" s="81">
        <f>SUM(F31:F34)</f>
        <v>93673.56000000001</v>
      </c>
      <c r="G30" s="81">
        <f>SUM(G31:G34)</f>
        <v>-1680.0800000000017</v>
      </c>
    </row>
    <row r="31" spans="1:7" ht="15">
      <c r="A31" s="34" t="s">
        <v>232</v>
      </c>
      <c r="B31" s="34" t="s">
        <v>174</v>
      </c>
      <c r="C31" s="103" t="s">
        <v>300</v>
      </c>
      <c r="D31" s="88">
        <v>89162.1</v>
      </c>
      <c r="E31" s="88">
        <v>84762.02</v>
      </c>
      <c r="F31" s="88">
        <f>D31</f>
        <v>89162.1</v>
      </c>
      <c r="G31" s="88">
        <f>E31-D31</f>
        <v>-4400.080000000002</v>
      </c>
    </row>
    <row r="32" spans="1:7" ht="15">
      <c r="A32" s="34" t="s">
        <v>233</v>
      </c>
      <c r="B32" s="34" t="s">
        <v>142</v>
      </c>
      <c r="C32" s="103" t="s">
        <v>315</v>
      </c>
      <c r="D32" s="88">
        <v>4511.46</v>
      </c>
      <c r="E32" s="88">
        <v>7231.46</v>
      </c>
      <c r="F32" s="88">
        <f>D32</f>
        <v>4511.46</v>
      </c>
      <c r="G32" s="88">
        <f>E32-D32</f>
        <v>2720</v>
      </c>
    </row>
    <row r="33" spans="1:9" s="38" customFormat="1" ht="15">
      <c r="A33" s="34" t="s">
        <v>234</v>
      </c>
      <c r="B33" s="34" t="s">
        <v>40</v>
      </c>
      <c r="C33" s="149"/>
      <c r="D33" s="88">
        <v>0</v>
      </c>
      <c r="E33" s="88">
        <v>0</v>
      </c>
      <c r="F33" s="88">
        <f>D33</f>
        <v>0</v>
      </c>
      <c r="G33" s="88">
        <f>E33-D33</f>
        <v>0</v>
      </c>
      <c r="H33" s="35"/>
      <c r="I33" s="35"/>
    </row>
    <row r="34" spans="1:7" ht="23.25" customHeight="1" thickBot="1">
      <c r="A34" s="34" t="s">
        <v>235</v>
      </c>
      <c r="B34" s="34" t="s">
        <v>43</v>
      </c>
      <c r="C34" s="103"/>
      <c r="D34" s="88">
        <v>0</v>
      </c>
      <c r="E34" s="88">
        <v>0</v>
      </c>
      <c r="F34" s="88">
        <f>D34</f>
        <v>0</v>
      </c>
      <c r="G34" s="88">
        <f>E34-D34</f>
        <v>0</v>
      </c>
    </row>
    <row r="35" spans="1:10" s="106" customFormat="1" ht="14.25" thickBot="1">
      <c r="A35" s="319" t="s">
        <v>420</v>
      </c>
      <c r="B35" s="320"/>
      <c r="C35" s="320"/>
      <c r="D35" s="69">
        <f>D13+D19+D24+D25+D26+D27+D28+D29+D30-E19-E24-E25-E26-E27-E28-E29-E30</f>
        <v>54371.37000000008</v>
      </c>
      <c r="E35" s="70"/>
      <c r="F35" s="70"/>
      <c r="G35" s="70"/>
      <c r="H35" s="105"/>
      <c r="I35" s="105"/>
      <c r="J35" s="105"/>
    </row>
    <row r="36" spans="1:9" s="71" customFormat="1" ht="15.75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G15+E29-F29</f>
        <v>0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G16+E28-F28</f>
        <v>29926.459000000003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s="71" customFormat="1" ht="29.25" customHeight="1">
      <c r="A40" s="372" t="s">
        <v>44</v>
      </c>
      <c r="B40" s="372"/>
      <c r="C40" s="372"/>
      <c r="D40" s="372"/>
      <c r="E40" s="372"/>
      <c r="F40" s="372"/>
      <c r="G40" s="372"/>
      <c r="H40" s="372"/>
      <c r="I40" s="372"/>
    </row>
    <row r="41" ht="26.25" customHeight="1"/>
    <row r="42" spans="1:9" ht="28.5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340" t="s">
        <v>46</v>
      </c>
      <c r="G42" s="352"/>
      <c r="H42" s="179"/>
      <c r="I42" s="179"/>
    </row>
    <row r="43" spans="1:9" s="179" customFormat="1" ht="15">
      <c r="A43" s="113" t="s">
        <v>47</v>
      </c>
      <c r="B43" s="342" t="s">
        <v>114</v>
      </c>
      <c r="C43" s="345"/>
      <c r="D43" s="115"/>
      <c r="E43" s="115"/>
      <c r="F43" s="356">
        <f>SUM(F44:L49)</f>
        <v>40443.641</v>
      </c>
      <c r="G43" s="351"/>
      <c r="H43" s="119"/>
      <c r="I43" s="119"/>
    </row>
    <row r="44" spans="1:9" s="119" customFormat="1" ht="27.75" customHeight="1">
      <c r="A44" s="34" t="s">
        <v>16</v>
      </c>
      <c r="B44" s="325" t="s">
        <v>316</v>
      </c>
      <c r="C44" s="327"/>
      <c r="D44" s="123" t="s">
        <v>269</v>
      </c>
      <c r="E44" s="123">
        <v>0.01</v>
      </c>
      <c r="F44" s="366">
        <v>1031.74</v>
      </c>
      <c r="G44" s="367"/>
      <c r="H44" s="35"/>
      <c r="I44" s="35"/>
    </row>
    <row r="45" spans="1:7" ht="26.25" customHeight="1">
      <c r="A45" s="34" t="s">
        <v>18</v>
      </c>
      <c r="B45" s="325" t="s">
        <v>396</v>
      </c>
      <c r="C45" s="327"/>
      <c r="D45" s="123" t="s">
        <v>173</v>
      </c>
      <c r="E45" s="123">
        <v>1</v>
      </c>
      <c r="F45" s="355">
        <v>12263.5</v>
      </c>
      <c r="G45" s="355"/>
    </row>
    <row r="46" spans="1:7" ht="13.5" customHeight="1">
      <c r="A46" s="34" t="s">
        <v>20</v>
      </c>
      <c r="B46" s="325" t="s">
        <v>397</v>
      </c>
      <c r="C46" s="327"/>
      <c r="D46" s="123" t="s">
        <v>173</v>
      </c>
      <c r="E46" s="123">
        <v>1</v>
      </c>
      <c r="F46" s="366">
        <v>10688.7</v>
      </c>
      <c r="G46" s="367"/>
    </row>
    <row r="47" spans="1:7" ht="13.5" customHeight="1">
      <c r="A47" s="34" t="s">
        <v>22</v>
      </c>
      <c r="B47" s="325" t="s">
        <v>181</v>
      </c>
      <c r="C47" s="327"/>
      <c r="D47" s="123" t="s">
        <v>176</v>
      </c>
      <c r="E47" s="123">
        <v>0.5</v>
      </c>
      <c r="F47" s="366">
        <v>3756</v>
      </c>
      <c r="G47" s="367"/>
    </row>
    <row r="48" spans="1:7" ht="13.5" customHeight="1">
      <c r="A48" s="34" t="s">
        <v>24</v>
      </c>
      <c r="B48" s="325" t="s">
        <v>691</v>
      </c>
      <c r="C48" s="327"/>
      <c r="D48" s="123"/>
      <c r="E48" s="123"/>
      <c r="F48" s="366">
        <v>12000</v>
      </c>
      <c r="G48" s="367"/>
    </row>
    <row r="49" spans="1:7" s="71" customFormat="1" ht="15">
      <c r="A49" s="34" t="s">
        <v>106</v>
      </c>
      <c r="B49" s="155" t="s">
        <v>207</v>
      </c>
      <c r="C49" s="156"/>
      <c r="D49" s="123"/>
      <c r="E49" s="123"/>
      <c r="F49" s="355">
        <f>E28*1%</f>
        <v>703.701</v>
      </c>
      <c r="G49" s="355"/>
    </row>
    <row r="50" spans="8:9" s="71" customFormat="1" ht="15">
      <c r="H50" s="35"/>
      <c r="I50" s="35"/>
    </row>
    <row r="51" spans="8:9" s="71" customFormat="1" ht="15">
      <c r="H51" s="35"/>
      <c r="I51" s="35"/>
    </row>
    <row r="52" spans="1:9" s="71" customFormat="1" ht="15">
      <c r="A52" s="71" t="s">
        <v>55</v>
      </c>
      <c r="C52" s="71" t="s">
        <v>49</v>
      </c>
      <c r="F52" s="71" t="s">
        <v>93</v>
      </c>
      <c r="H52" s="35"/>
      <c r="I52" s="35"/>
    </row>
    <row r="53" s="71" customFormat="1" ht="15">
      <c r="F53" s="132" t="s">
        <v>296</v>
      </c>
    </row>
    <row r="54" spans="1:7" ht="15">
      <c r="A54" s="71" t="s">
        <v>50</v>
      </c>
      <c r="B54" s="71"/>
      <c r="C54" s="71"/>
      <c r="D54" s="71"/>
      <c r="E54" s="71"/>
      <c r="F54" s="71"/>
      <c r="G54" s="71"/>
    </row>
    <row r="55" spans="1:7" ht="15">
      <c r="A55" s="71"/>
      <c r="B55" s="71"/>
      <c r="C55" s="134" t="s">
        <v>51</v>
      </c>
      <c r="D55" s="71"/>
      <c r="E55" s="134"/>
      <c r="F55" s="134"/>
      <c r="G55" s="134"/>
    </row>
    <row r="56" spans="1:7" ht="15">
      <c r="A56" s="71"/>
      <c r="B56" s="71"/>
      <c r="C56" s="71"/>
      <c r="D56" s="71"/>
      <c r="E56" s="71"/>
      <c r="F56" s="71"/>
      <c r="G56" s="71"/>
    </row>
  </sheetData>
  <sheetProtection/>
  <mergeCells count="25">
    <mergeCell ref="A1:I1"/>
    <mergeCell ref="A2:I2"/>
    <mergeCell ref="A3:K3"/>
    <mergeCell ref="A5:I5"/>
    <mergeCell ref="A10:I10"/>
    <mergeCell ref="A11:I11"/>
    <mergeCell ref="A12:I12"/>
    <mergeCell ref="A13:C13"/>
    <mergeCell ref="A35:C35"/>
    <mergeCell ref="A40:I40"/>
    <mergeCell ref="B42:C42"/>
    <mergeCell ref="F42:G42"/>
    <mergeCell ref="B43:C43"/>
    <mergeCell ref="F43:G43"/>
    <mergeCell ref="B44:C44"/>
    <mergeCell ref="F44:G44"/>
    <mergeCell ref="B45:C45"/>
    <mergeCell ref="F45:G45"/>
    <mergeCell ref="F49:G49"/>
    <mergeCell ref="B46:C46"/>
    <mergeCell ref="F46:G46"/>
    <mergeCell ref="B47:C47"/>
    <mergeCell ref="F47:G47"/>
    <mergeCell ref="B48:C48"/>
    <mergeCell ref="F48:G48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7030A0"/>
  </sheetPr>
  <dimension ref="A1:K54"/>
  <sheetViews>
    <sheetView zoomScalePageLayoutView="0" workbookViewId="0" topLeftCell="A31">
      <selection activeCell="G37" sqref="G37"/>
    </sheetView>
  </sheetViews>
  <sheetFormatPr defaultColWidth="9.140625" defaultRowHeight="15" outlineLevelCol="1"/>
  <cols>
    <col min="1" max="1" width="4.7109375" style="35" customWidth="1"/>
    <col min="2" max="2" width="44.28125" style="35" customWidth="1"/>
    <col min="3" max="3" width="12.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3.42187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6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4.2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3" customHeight="1"/>
    <row r="7" spans="1:6" s="71" customFormat="1" ht="16.5" customHeight="1">
      <c r="A7" s="71" t="s">
        <v>2</v>
      </c>
      <c r="F7" s="132" t="s">
        <v>131</v>
      </c>
    </row>
    <row r="8" spans="1:6" s="71" customFormat="1" ht="15">
      <c r="A8" s="71" t="s">
        <v>3</v>
      </c>
      <c r="F8" s="132" t="s">
        <v>387</v>
      </c>
    </row>
    <row r="9" s="71" customFormat="1" ht="6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316839.55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'[1]Билибина 28'!$G$36</f>
        <v>0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'[1]Билибина 28'!$G$37</f>
        <v>41036.3226</v>
      </c>
      <c r="H16" s="66"/>
      <c r="I16" s="66"/>
    </row>
    <row r="17" s="71" customFormat="1" ht="6.7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71" customFormat="1" ht="29.25">
      <c r="A19" s="79" t="s">
        <v>14</v>
      </c>
      <c r="B19" s="41" t="s">
        <v>15</v>
      </c>
      <c r="C19" s="141">
        <f>C20+C21+C22+C23</f>
        <v>9.53</v>
      </c>
      <c r="D19" s="80">
        <v>354001.68</v>
      </c>
      <c r="E19" s="80">
        <v>346570.73</v>
      </c>
      <c r="F19" s="80">
        <f aca="true" t="shared" si="0" ref="F19:F26">D19</f>
        <v>354001.68</v>
      </c>
      <c r="G19" s="81">
        <f aca="true" t="shared" si="1" ref="G19:G28">E19-D19</f>
        <v>-7430.950000000012</v>
      </c>
      <c r="H19" s="82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124067.74514165791</v>
      </c>
      <c r="E20" s="87">
        <f>E19*I20</f>
        <v>121463.40379853094</v>
      </c>
      <c r="F20" s="87">
        <f t="shared" si="0"/>
        <v>124067.74514165791</v>
      </c>
      <c r="G20" s="88">
        <f t="shared" si="1"/>
        <v>-2604.341343126973</v>
      </c>
      <c r="H20" s="8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60548.031311647435</v>
      </c>
      <c r="E21" s="87">
        <f>E19*I21</f>
        <v>59277.0503567681</v>
      </c>
      <c r="F21" s="87">
        <f t="shared" si="0"/>
        <v>60548.031311647435</v>
      </c>
      <c r="G21" s="88">
        <f t="shared" si="1"/>
        <v>-1270.9809548793346</v>
      </c>
      <c r="H21" s="8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60548.031311647435</v>
      </c>
      <c r="E22" s="87">
        <f>E19*I22</f>
        <v>59277.0503567681</v>
      </c>
      <c r="F22" s="87">
        <f t="shared" si="0"/>
        <v>60548.031311647435</v>
      </c>
      <c r="G22" s="88">
        <f t="shared" si="1"/>
        <v>-1270.9809548793346</v>
      </c>
      <c r="H22" s="8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108837.87223504724</v>
      </c>
      <c r="E23" s="87">
        <f>E19*I23</f>
        <v>106553.22548793285</v>
      </c>
      <c r="F23" s="87">
        <f t="shared" si="0"/>
        <v>108837.87223504724</v>
      </c>
      <c r="G23" s="88">
        <f t="shared" si="1"/>
        <v>-2284.646747114384</v>
      </c>
      <c r="H23" s="82">
        <f>C23</f>
        <v>2.93</v>
      </c>
      <c r="I23" s="71">
        <f>H23/H19</f>
        <v>0.30745015739769155</v>
      </c>
    </row>
    <row r="24" spans="1:7" ht="39.75" customHeight="1">
      <c r="A24" s="41" t="s">
        <v>25</v>
      </c>
      <c r="B24" s="146" t="s">
        <v>388</v>
      </c>
      <c r="C24" s="46" t="s">
        <v>386</v>
      </c>
      <c r="D24" s="81">
        <v>17940</v>
      </c>
      <c r="E24" s="81">
        <v>14847.68</v>
      </c>
      <c r="F24" s="81">
        <f t="shared" si="0"/>
        <v>17940</v>
      </c>
      <c r="G24" s="81">
        <f t="shared" si="1"/>
        <v>-3092.3199999999997</v>
      </c>
    </row>
    <row r="25" spans="1:7" ht="1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7" ht="15.75" customHeight="1">
      <c r="A26" s="41" t="s">
        <v>29</v>
      </c>
      <c r="B26" s="146" t="s">
        <v>170</v>
      </c>
      <c r="C26" s="147">
        <v>0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</row>
    <row r="27" spans="1:7" ht="15">
      <c r="A27" s="41" t="s">
        <v>31</v>
      </c>
      <c r="B27" s="146" t="s">
        <v>119</v>
      </c>
      <c r="C27" s="101">
        <v>1.8</v>
      </c>
      <c r="D27" s="81">
        <v>66862.8</v>
      </c>
      <c r="E27" s="81">
        <v>65289.5</v>
      </c>
      <c r="F27" s="91">
        <f>F42</f>
        <v>98451.235</v>
      </c>
      <c r="G27" s="81">
        <f t="shared" si="1"/>
        <v>-1573.300000000003</v>
      </c>
    </row>
    <row r="28" spans="1:7" ht="15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91">
        <v>0</v>
      </c>
      <c r="G28" s="81">
        <f t="shared" si="1"/>
        <v>0</v>
      </c>
    </row>
    <row r="29" spans="1:7" ht="15">
      <c r="A29" s="41" t="s">
        <v>35</v>
      </c>
      <c r="B29" s="140" t="s">
        <v>36</v>
      </c>
      <c r="C29" s="101"/>
      <c r="D29" s="81">
        <f>SUM(D30:D33)</f>
        <v>1184391.47</v>
      </c>
      <c r="E29" s="81">
        <f>SUM(E30:E33)</f>
        <v>1146392.79</v>
      </c>
      <c r="F29" s="81">
        <f>SUM(F30:F33)</f>
        <v>1184391.47</v>
      </c>
      <c r="G29" s="81">
        <f>SUM(G30:G33)</f>
        <v>-37998.68000000003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34432.97</v>
      </c>
      <c r="E30" s="88">
        <v>33811.32</v>
      </c>
      <c r="F30" s="88">
        <f>D30</f>
        <v>34432.97</v>
      </c>
      <c r="G30" s="88">
        <f>E30-D30</f>
        <v>-621.6500000000015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423843.26</v>
      </c>
      <c r="E31" s="88">
        <v>408113.98</v>
      </c>
      <c r="F31" s="88">
        <f>D31</f>
        <v>423843.26</v>
      </c>
      <c r="G31" s="88">
        <f>E31-D31</f>
        <v>-15729.280000000028</v>
      </c>
    </row>
    <row r="32" spans="1:9" s="38" customFormat="1" ht="15">
      <c r="A32" s="34" t="s">
        <v>42</v>
      </c>
      <c r="B32" s="34" t="s">
        <v>40</v>
      </c>
      <c r="C32" s="149"/>
      <c r="D32" s="88">
        <v>0</v>
      </c>
      <c r="E32" s="88">
        <v>0</v>
      </c>
      <c r="F32" s="88">
        <f>D32</f>
        <v>0</v>
      </c>
      <c r="G32" s="88">
        <f>E32-D32</f>
        <v>0</v>
      </c>
      <c r="H32" s="35"/>
      <c r="I32" s="35"/>
    </row>
    <row r="33" spans="1:7" ht="23.25" customHeight="1" thickBot="1">
      <c r="A33" s="34" t="s">
        <v>41</v>
      </c>
      <c r="B33" s="34" t="s">
        <v>43</v>
      </c>
      <c r="C33" s="103" t="s">
        <v>391</v>
      </c>
      <c r="D33" s="88">
        <v>726115.24</v>
      </c>
      <c r="E33" s="88">
        <v>704467.49</v>
      </c>
      <c r="F33" s="88">
        <f>D33</f>
        <v>726115.24</v>
      </c>
      <c r="G33" s="88">
        <f>E33-D33</f>
        <v>-21647.75</v>
      </c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366934.80000000005</v>
      </c>
      <c r="E34" s="70"/>
      <c r="F34" s="70"/>
      <c r="G34" s="70"/>
      <c r="H34" s="105"/>
      <c r="I34" s="105"/>
      <c r="J34" s="105"/>
    </row>
    <row r="35" spans="1:9" s="71" customFormat="1" ht="15.75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G15+E28-F28</f>
        <v>0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7874.587599999999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29.25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0" ht="26.25" customHeight="1"/>
    <row r="41" spans="1:9" ht="28.5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s="179" customFormat="1" ht="15">
      <c r="A42" s="113" t="s">
        <v>47</v>
      </c>
      <c r="B42" s="342" t="s">
        <v>114</v>
      </c>
      <c r="C42" s="345"/>
      <c r="D42" s="115"/>
      <c r="E42" s="115"/>
      <c r="F42" s="356">
        <f>SUM(F43:L47)</f>
        <v>98451.235</v>
      </c>
      <c r="G42" s="351"/>
      <c r="H42" s="119"/>
      <c r="I42" s="119"/>
    </row>
    <row r="43" spans="1:9" s="119" customFormat="1" ht="27.75" customHeight="1">
      <c r="A43" s="34" t="s">
        <v>16</v>
      </c>
      <c r="B43" s="325" t="s">
        <v>390</v>
      </c>
      <c r="C43" s="327"/>
      <c r="D43" s="123"/>
      <c r="E43" s="123" t="s">
        <v>317</v>
      </c>
      <c r="F43" s="366">
        <v>1083.5</v>
      </c>
      <c r="G43" s="367"/>
      <c r="H43" s="35"/>
      <c r="I43" s="35"/>
    </row>
    <row r="44" spans="1:7" ht="13.5" customHeight="1">
      <c r="A44" s="34" t="s">
        <v>18</v>
      </c>
      <c r="B44" s="325" t="s">
        <v>389</v>
      </c>
      <c r="C44" s="327"/>
      <c r="D44" s="123" t="s">
        <v>176</v>
      </c>
      <c r="E44" s="123">
        <v>10</v>
      </c>
      <c r="F44" s="355">
        <v>10000</v>
      </c>
      <c r="G44" s="355"/>
    </row>
    <row r="45" spans="1:7" ht="13.5" customHeight="1">
      <c r="A45" s="34" t="s">
        <v>20</v>
      </c>
      <c r="B45" s="325" t="s">
        <v>633</v>
      </c>
      <c r="C45" s="327"/>
      <c r="D45" s="123" t="s">
        <v>265</v>
      </c>
      <c r="E45" s="123">
        <v>2.5</v>
      </c>
      <c r="F45" s="366">
        <v>76914.84</v>
      </c>
      <c r="G45" s="367"/>
    </row>
    <row r="46" spans="1:7" ht="13.5" customHeight="1">
      <c r="A46" s="34" t="s">
        <v>22</v>
      </c>
      <c r="B46" s="325" t="s">
        <v>663</v>
      </c>
      <c r="C46" s="350"/>
      <c r="D46" s="123"/>
      <c r="E46" s="159" t="s">
        <v>286</v>
      </c>
      <c r="F46" s="344">
        <v>9800</v>
      </c>
      <c r="G46" s="344"/>
    </row>
    <row r="47" spans="1:7" s="71" customFormat="1" ht="15">
      <c r="A47" s="34" t="s">
        <v>24</v>
      </c>
      <c r="B47" s="155" t="s">
        <v>207</v>
      </c>
      <c r="C47" s="156"/>
      <c r="D47" s="123"/>
      <c r="E47" s="123"/>
      <c r="F47" s="355">
        <f>E27*1%</f>
        <v>652.895</v>
      </c>
      <c r="G47" s="355"/>
    </row>
    <row r="48" spans="8:9" s="71" customFormat="1" ht="15">
      <c r="H48" s="35"/>
      <c r="I48" s="35"/>
    </row>
    <row r="49" spans="8:9" s="71" customFormat="1" ht="15">
      <c r="H49" s="35"/>
      <c r="I49" s="35"/>
    </row>
    <row r="50" spans="1:9" s="71" customFormat="1" ht="15">
      <c r="A50" s="71" t="s">
        <v>55</v>
      </c>
      <c r="C50" s="71" t="s">
        <v>49</v>
      </c>
      <c r="F50" s="71" t="s">
        <v>93</v>
      </c>
      <c r="H50" s="35"/>
      <c r="I50" s="35"/>
    </row>
    <row r="51" s="71" customFormat="1" ht="15">
      <c r="F51" s="132" t="s">
        <v>296</v>
      </c>
    </row>
    <row r="52" spans="1:7" ht="15">
      <c r="A52" s="71" t="s">
        <v>50</v>
      </c>
      <c r="B52" s="71"/>
      <c r="C52" s="71"/>
      <c r="D52" s="71"/>
      <c r="E52" s="71"/>
      <c r="F52" s="71"/>
      <c r="G52" s="71"/>
    </row>
    <row r="53" spans="1:7" ht="15">
      <c r="A53" s="71"/>
      <c r="B53" s="71"/>
      <c r="C53" s="134" t="s">
        <v>51</v>
      </c>
      <c r="D53" s="71"/>
      <c r="E53" s="134"/>
      <c r="F53" s="134"/>
      <c r="G53" s="134"/>
    </row>
    <row r="54" spans="1:7" ht="15">
      <c r="A54" s="71"/>
      <c r="B54" s="71"/>
      <c r="C54" s="71"/>
      <c r="D54" s="71"/>
      <c r="E54" s="71"/>
      <c r="F54" s="71"/>
      <c r="G54" s="71"/>
    </row>
  </sheetData>
  <sheetProtection/>
  <mergeCells count="23">
    <mergeCell ref="F47:G47"/>
    <mergeCell ref="B45:C45"/>
    <mergeCell ref="F45:G45"/>
    <mergeCell ref="A13:C13"/>
    <mergeCell ref="F42:G42"/>
    <mergeCell ref="F44:G44"/>
    <mergeCell ref="B44:C44"/>
    <mergeCell ref="A1:I1"/>
    <mergeCell ref="A2:I2"/>
    <mergeCell ref="A3:K3"/>
    <mergeCell ref="A5:I5"/>
    <mergeCell ref="F43:G43"/>
    <mergeCell ref="A34:C34"/>
    <mergeCell ref="A10:I10"/>
    <mergeCell ref="A11:I11"/>
    <mergeCell ref="B42:C42"/>
    <mergeCell ref="B43:C43"/>
    <mergeCell ref="A12:I12"/>
    <mergeCell ref="A39:I39"/>
    <mergeCell ref="F41:G41"/>
    <mergeCell ref="B41:C41"/>
    <mergeCell ref="B46:C46"/>
    <mergeCell ref="F46:G46"/>
  </mergeCells>
  <printOptions/>
  <pageMargins left="0" right="0" top="0" bottom="0" header="0.31496062992125984" footer="0.31496062992125984"/>
  <pageSetup horizontalDpi="600" verticalDpi="600" orientation="portrait" paperSize="9" scale="9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28">
      <selection activeCell="F46" sqref="F46"/>
    </sheetView>
  </sheetViews>
  <sheetFormatPr defaultColWidth="9.140625" defaultRowHeight="15" outlineLevelCol="1"/>
  <cols>
    <col min="1" max="1" width="4.7109375" style="1" customWidth="1"/>
    <col min="2" max="2" width="25.421875" style="1" customWidth="1"/>
    <col min="3" max="3" width="12.7109375" style="1" customWidth="1"/>
    <col min="4" max="4" width="13.421875" style="1" customWidth="1"/>
    <col min="5" max="5" width="13.00390625" style="1" customWidth="1"/>
    <col min="6" max="6" width="11.57421875" style="1" customWidth="1"/>
    <col min="7" max="7" width="12.00390625" style="1" customWidth="1"/>
    <col min="8" max="8" width="12.8515625" style="1" hidden="1" customWidth="1" outlineLevel="1"/>
    <col min="9" max="9" width="13.421875" style="1" hidden="1" customWidth="1" outlineLevel="1"/>
    <col min="10" max="12" width="9.140625" style="1" hidden="1" customWidth="1" outlineLevel="1"/>
    <col min="13" max="13" width="9.140625" style="1" customWidth="1" collapsed="1"/>
    <col min="14" max="16384" width="9.140625" style="1" customWidth="1"/>
  </cols>
  <sheetData>
    <row r="1" spans="1:9" ht="15">
      <c r="A1" s="416" t="s">
        <v>0</v>
      </c>
      <c r="B1" s="416"/>
      <c r="C1" s="416"/>
      <c r="D1" s="416"/>
      <c r="E1" s="416"/>
      <c r="F1" s="416"/>
      <c r="G1" s="416"/>
      <c r="H1" s="416"/>
      <c r="I1" s="416"/>
    </row>
    <row r="2" spans="1:9" ht="15">
      <c r="A2" s="416" t="s">
        <v>52</v>
      </c>
      <c r="B2" s="416"/>
      <c r="C2" s="416"/>
      <c r="D2" s="416"/>
      <c r="E2" s="416"/>
      <c r="F2" s="416"/>
      <c r="G2" s="416"/>
      <c r="H2" s="416"/>
      <c r="I2" s="416"/>
    </row>
    <row r="3" spans="1:9" ht="15">
      <c r="A3" s="416" t="s">
        <v>98</v>
      </c>
      <c r="B3" s="416"/>
      <c r="C3" s="416"/>
      <c r="D3" s="416"/>
      <c r="E3" s="416"/>
      <c r="F3" s="416"/>
      <c r="G3" s="416"/>
      <c r="H3" s="416"/>
      <c r="I3" s="416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417" t="s">
        <v>1</v>
      </c>
      <c r="B5" s="416"/>
      <c r="C5" s="416"/>
      <c r="D5" s="416"/>
      <c r="E5" s="416"/>
      <c r="F5" s="416"/>
      <c r="G5" s="416"/>
      <c r="H5" s="416"/>
      <c r="I5" s="416"/>
    </row>
    <row r="7" spans="1:6" s="3" customFormat="1" ht="15">
      <c r="A7" s="3" t="s">
        <v>2</v>
      </c>
      <c r="F7" s="4"/>
    </row>
    <row r="8" spans="1:6" s="3" customFormat="1" ht="15">
      <c r="A8" s="3" t="s">
        <v>3</v>
      </c>
      <c r="F8" s="4"/>
    </row>
    <row r="9" s="3" customFormat="1" ht="15">
      <c r="A9" s="3" t="s">
        <v>4</v>
      </c>
    </row>
    <row r="10" spans="1:6" s="3" customFormat="1" ht="15">
      <c r="A10" s="3" t="s">
        <v>5</v>
      </c>
      <c r="F10" s="4" t="s">
        <v>6</v>
      </c>
    </row>
    <row r="11" spans="1:6" s="3" customFormat="1" ht="15">
      <c r="A11" s="3" t="s">
        <v>7</v>
      </c>
      <c r="F11" s="4" t="s">
        <v>6</v>
      </c>
    </row>
    <row r="12" s="3" customFormat="1" ht="15"/>
    <row r="13" spans="1:9" s="3" customFormat="1" ht="15">
      <c r="A13" s="393" t="s">
        <v>8</v>
      </c>
      <c r="B13" s="393"/>
      <c r="C13" s="393"/>
      <c r="D13" s="393"/>
      <c r="E13" s="393"/>
      <c r="F13" s="393"/>
      <c r="G13" s="393"/>
      <c r="H13" s="393"/>
      <c r="I13" s="393"/>
    </row>
    <row r="14" spans="1:9" s="3" customFormat="1" ht="15">
      <c r="A14" s="393" t="s">
        <v>9</v>
      </c>
      <c r="B14" s="393"/>
      <c r="C14" s="393"/>
      <c r="D14" s="393"/>
      <c r="E14" s="393"/>
      <c r="F14" s="393"/>
      <c r="G14" s="393"/>
      <c r="H14" s="393"/>
      <c r="I14" s="393"/>
    </row>
    <row r="15" spans="1:9" s="3" customFormat="1" ht="15">
      <c r="A15" s="393" t="s">
        <v>10</v>
      </c>
      <c r="B15" s="393"/>
      <c r="C15" s="393"/>
      <c r="D15" s="393"/>
      <c r="E15" s="393"/>
      <c r="F15" s="393"/>
      <c r="G15" s="393"/>
      <c r="H15" s="393"/>
      <c r="I15" s="393"/>
    </row>
    <row r="16" s="3" customFormat="1" ht="15"/>
    <row r="17" spans="1:7" s="14" customFormat="1" ht="52.5" customHeight="1">
      <c r="A17" s="5" t="s">
        <v>11</v>
      </c>
      <c r="B17" s="5" t="s">
        <v>12</v>
      </c>
      <c r="C17" s="5" t="s">
        <v>94</v>
      </c>
      <c r="D17" s="5" t="s">
        <v>115</v>
      </c>
      <c r="E17" s="5" t="s">
        <v>116</v>
      </c>
      <c r="F17" s="13" t="s">
        <v>117</v>
      </c>
      <c r="G17" s="5" t="s">
        <v>118</v>
      </c>
    </row>
    <row r="18" spans="1:9" s="3" customFormat="1" ht="30">
      <c r="A18" s="6" t="s">
        <v>14</v>
      </c>
      <c r="B18" s="7" t="s">
        <v>15</v>
      </c>
      <c r="C18" s="25">
        <v>6.75</v>
      </c>
      <c r="D18" s="8" t="e">
        <f>'Телевизионная 2а'!D18+'Пионерская 16'!D19+' Пионерская 1318 кв.1-50'!D19+'Багговута 12'!D19+'Пионерская 15'!D18+'Социалистическая 3'!D19+'Социалистическая 4'!D19+'Социалистическая 6'!D19+'Социалистическая 6 к.1'!D19+'Социалистическая 9'!D19+'Социалистическая 12'!D19+'Телевизионная 2'!D19+'Телевизионная 4'!D19+'Чичерина 7а'!D19+'Чичерина 8'!D19+#REF!+'Чичерина 16 к. 1'!D19+'пер.Чичерина 24'!D19+'пер. Чичерина 28'!D19+'Калинина 12'!D19+'Калинина 18'!D19+'Калинина 23'!D19+'Пионерская 9'!D19+'Высокая 4'!D19+'Пухова 15'!D19+#REF!+#REF!+'Пухова 17'!D19+'Калинина 4'!D19+'Пионерская 18'!D19+'Чичерина 12 к.1'!D19+'Телевизионная 6 к.1'!D19+#REF!+'Пионерская 2'!D19+'Телевизионная 2 к.1'!D19+'Чичерина 16'!D19+'Чичерина 22'!D19+#REF!+'Ленина 68,8'!D19+'Ленина 67'!D19+'Огарева 20'!D18+'Пролетарская 40'!D18+'Чижевского 4'!D19</f>
        <v>#REF!</v>
      </c>
      <c r="E18" s="8" t="e">
        <f>'Телевизионная 2а'!E18+'Пионерская 16'!E19+' Пионерская 1318 кв.1-50'!E19+'Багговута 12'!E19+'Пионерская 15'!E18+'Социалистическая 3'!E19+'Социалистическая 4'!E19+'Социалистическая 6'!E19+'Социалистическая 6 к.1'!E19+'Социалистическая 9'!E19+'Социалистическая 12'!E19+'Телевизионная 2'!E19+'Телевизионная 4'!E19+'Чичерина 7а'!E19+'Чичерина 8'!E19+#REF!+'Чичерина 16 к. 1'!E19+'пер.Чичерина 24'!E19+'пер. Чичерина 28'!E19+'Калинина 12'!E19+'Калинина 18'!E19+'Калинина 23'!E19+'Пионерская 9'!E19+'Высокая 4'!E19+'Пухова 15'!E19+#REF!+#REF!+'Пухова 17'!E19+'Калинина 4'!E19+'Пионерская 18'!E19+'Чичерина 12 к.1'!E19+'Телевизионная 6 к.1'!E19+#REF!+'Пионерская 2'!E19+'Телевизионная 2 к.1'!E19+'Чичерина 16'!E19+'Чичерина 22'!E19+#REF!+'Ленина 68,8'!E19+'Ленина 67'!E19+'Огарева 20'!E18+'Пролетарская 40'!E18+'Чижевского 4'!E19</f>
        <v>#REF!</v>
      </c>
      <c r="F18" s="8" t="e">
        <f>'Телевизионная 2а'!F18+'Пионерская 16'!F19+' Пионерская 1318 кв.1-50'!F19+'Багговута 12'!F19+'Пионерская 15'!F18+'Социалистическая 3'!F19+'Социалистическая 4'!F19+'Социалистическая 6'!F19+'Социалистическая 6 к.1'!F19+'Социалистическая 9'!F19+'Социалистическая 12'!F19+'Телевизионная 2'!F19+'Телевизионная 4'!F19+'Чичерина 7а'!F19+'Чичерина 8'!F19+#REF!+'Чичерина 16 к. 1'!F19+'пер.Чичерина 24'!F19+'пер. Чичерина 28'!F19+'Калинина 12'!F19+'Калинина 18'!F19+'Калинина 23'!F19+'Пионерская 9'!F19+'Высокая 4'!F19+'Пухова 15'!F19+#REF!+#REF!+'Пухова 17'!F19+'Калинина 4'!F19+'Пионерская 18'!F19+'Чичерина 12 к.1'!F19+'Телевизионная 6 к.1'!F19+#REF!+'Пионерская 2'!F19+'Телевизионная 2 к.1'!F19+'Чичерина 16'!F19+'Чичерина 22'!F19+#REF!+'Ленина 68,8'!F19+'Ленина 67'!F19+'Огарева 20'!F18+'Пролетарская 40'!F18+'Чижевского 4'!F19</f>
        <v>#REF!</v>
      </c>
      <c r="G18" s="8" t="e">
        <f>'Телевизионная 2а'!G18+'Пионерская 16'!G19+' Пионерская 1318 кв.1-50'!G19+'Багговута 12'!G19+'Пионерская 15'!G18+'Социалистическая 3'!G19+'Социалистическая 4'!G19+'Социалистическая 6'!G19+'Социалистическая 6 к.1'!G19+'Социалистическая 9'!G19+'Социалистическая 12'!G19+'Телевизионная 2'!G19+'Телевизионная 4'!G19+'Чичерина 7а'!G19+'Чичерина 8'!G19+#REF!+'Чичерина 16 к. 1'!G19+'пер.Чичерина 24'!G19+'пер. Чичерина 28'!G19+'Калинина 12'!G19+'Калинина 18'!G19+'Калинина 23'!G19+'Пионерская 9'!G19+'Высокая 4'!G19+'Пухова 15'!G19+#REF!+#REF!+'Пухова 17'!G19+'Калинина 4'!G19+'Пионерская 18'!G19+'Чичерина 12 к.1'!G19+'Телевизионная 6 к.1'!G19+#REF!+'Пионерская 2'!G19+'Телевизионная 2 к.1'!G19+'Чичерина 16'!G19+'Чичерина 22'!G19+#REF!+'Ленина 68,8'!G19+'Ленина 67'!G19+'Огарева 20'!G18+'Пролетарская 40'!G18+'Чижевского 4'!G19</f>
        <v>#REF!</v>
      </c>
      <c r="H18" s="28">
        <v>6.75</v>
      </c>
      <c r="I18" s="11"/>
    </row>
    <row r="19" spans="1:9" s="3" customFormat="1" ht="30">
      <c r="A19" s="6" t="s">
        <v>16</v>
      </c>
      <c r="B19" s="7" t="s">
        <v>17</v>
      </c>
      <c r="C19" s="25">
        <v>2.41</v>
      </c>
      <c r="D19" s="8" t="e">
        <f>'Телевизионная 2а'!D19+'Пионерская 16'!D20+' Пионерская 1318 кв.1-50'!D20+'Багговута 12'!D20+'Пионерская 15'!D19+'Социалистическая 3'!D20+'Социалистическая 4'!D20+'Социалистическая 6'!D20+'Социалистическая 6 к.1'!D20+'Социалистическая 9'!D20+'Социалистическая 12'!D20+'Телевизионная 2'!D20+'Телевизионная 4'!D20+'Чичерина 7а'!D20+'Чичерина 8'!D20+#REF!+'Чичерина 16 к. 1'!D20+'пер.Чичерина 24'!D20+'пер. Чичерина 28'!D20+'Калинина 12'!D20+'Калинина 18'!D20+'Калинина 23'!D20+'Пионерская 9'!D20+'Высокая 4'!D20+'Пухова 15'!D20+#REF!+#REF!+'Пухова 17'!D20+'Калинина 4'!D20+'Пионерская 18'!D20+'Чичерина 12 к.1'!D20+'Телевизионная 6 к.1'!D20+#REF!+'Пионерская 2'!D20+'Телевизионная 2 к.1'!D20+'Чичерина 16'!D20+'Чичерина 22'!D20+#REF!+'Ленина 68,8'!D20+'Ленина 67'!D20+'Огарева 20'!D19+'Пролетарская 40'!D19+'Чижевского 4'!D20</f>
        <v>#REF!</v>
      </c>
      <c r="E19" s="8" t="e">
        <f>'Телевизионная 2а'!E19+'Пионерская 16'!E20+' Пионерская 1318 кв.1-50'!E20+'Багговута 12'!E20+'Пионерская 15'!E19+'Социалистическая 3'!E20+'Социалистическая 4'!E20+'Социалистическая 6'!E20+'Социалистическая 6 к.1'!E20+'Социалистическая 9'!E20+'Социалистическая 12'!E20+'Телевизионная 2'!E20+'Телевизионная 4'!E20+'Чичерина 7а'!E20+'Чичерина 8'!E20+#REF!+'Чичерина 16 к. 1'!E20+'пер.Чичерина 24'!E20+'пер. Чичерина 28'!E20+'Калинина 12'!E20+'Калинина 18'!E20+'Калинина 23'!E20+'Пионерская 9'!E20+'Высокая 4'!E20+'Пухова 15'!E20+#REF!+#REF!+'Пухова 17'!E20+'Калинина 4'!E20+'Пионерская 18'!E20+'Чичерина 12 к.1'!E20+'Телевизионная 6 к.1'!E20+#REF!+'Пионерская 2'!E20+'Телевизионная 2 к.1'!E20+'Чичерина 16'!E20+'Чичерина 22'!E20+#REF!+'Ленина 68,8'!E20+'Ленина 67'!E20+'Огарева 20'!E19+'Пролетарская 40'!E19+'Чижевского 4'!E20</f>
        <v>#REF!</v>
      </c>
      <c r="F19" s="8" t="e">
        <f>'Телевизионная 2а'!F19+'Пионерская 16'!F20+' Пионерская 1318 кв.1-50'!F20+'Багговута 12'!F20+'Пионерская 15'!F19+'Социалистическая 3'!F20+'Социалистическая 4'!F20+'Социалистическая 6'!F20+'Социалистическая 6 к.1'!F20+'Социалистическая 9'!F20+'Социалистическая 12'!F20+'Телевизионная 2'!F20+'Телевизионная 4'!F20+'Чичерина 7а'!F20+'Чичерина 8'!F20+#REF!+'Чичерина 16 к. 1'!F20+'пер.Чичерина 24'!F20+'пер. Чичерина 28'!F20+'Калинина 12'!F20+'Калинина 18'!F20+'Калинина 23'!F20+'Пионерская 9'!F20+'Высокая 4'!F20+'Пухова 15'!F20+#REF!+#REF!+'Пухова 17'!F20+'Калинина 4'!F20+'Пионерская 18'!F20+'Чичерина 12 к.1'!F20+'Телевизионная 6 к.1'!F20+#REF!+'Пионерская 2'!F20+'Телевизионная 2 к.1'!F20+'Чичерина 16'!F20+'Чичерина 22'!F20+#REF!+'Ленина 68,8'!F20+'Ленина 67'!F20+'Огарева 20'!F19+'Пролетарская 40'!F19+'Чижевского 4'!F20</f>
        <v>#REF!</v>
      </c>
      <c r="G19" s="8" t="e">
        <f>'Телевизионная 2а'!G19+'Пионерская 16'!G20+' Пионерская 1318 кв.1-50'!G20+'Багговута 12'!G20+'Пионерская 15'!G19+'Социалистическая 3'!G20+'Социалистическая 4'!G20+'Социалистическая 6'!G20+'Социалистическая 6 к.1'!G20+'Социалистическая 9'!G20+'Социалистическая 12'!G20+'Телевизионная 2'!G20+'Телевизионная 4'!G20+'Чичерина 7а'!G20+'Чичерина 8'!G20+#REF!+'Чичерина 16 к. 1'!G20+'пер.Чичерина 24'!G20+'пер. Чичерина 28'!G20+'Калинина 12'!G20+'Калинина 18'!G20+'Калинина 23'!G20+'Пионерская 9'!G20+'Высокая 4'!G20+'Пухова 15'!G20+#REF!+#REF!+'Пухова 17'!G20+'Калинина 4'!G20+'Пионерская 18'!G20+'Чичерина 12 к.1'!G20+'Телевизионная 6 к.1'!G20+#REF!+'Пионерская 2'!G20+'Телевизионная 2 к.1'!G20+'Чичерина 16'!G20+'Чичерина 22'!G20+#REF!+'Ленина 68,8'!G20+'Ленина 67'!G20+'Огарева 20'!G19+'Пролетарская 40'!G19+'Чижевского 4'!G20</f>
        <v>#REF!</v>
      </c>
      <c r="H19" s="28">
        <v>2.41</v>
      </c>
      <c r="I19" s="11">
        <f>H19/H18</f>
        <v>0.35703703703703704</v>
      </c>
    </row>
    <row r="20" spans="1:9" s="3" customFormat="1" ht="45">
      <c r="A20" s="6" t="s">
        <v>18</v>
      </c>
      <c r="B20" s="7" t="s">
        <v>19</v>
      </c>
      <c r="C20" s="25">
        <v>1.2</v>
      </c>
      <c r="D20" s="8" t="e">
        <f>'Телевизионная 2а'!D20+'Пионерская 16'!D21+' Пионерская 1318 кв.1-50'!D21+'Багговута 12'!D21+'Пионерская 15'!D20+'Социалистическая 3'!D21+'Социалистическая 4'!D21+'Социалистическая 6'!D21+'Социалистическая 6 к.1'!D21+'Социалистическая 9'!D21+'Социалистическая 12'!D21+'Телевизионная 2'!D21+'Телевизионная 4'!D21+'Чичерина 7а'!D21+'Чичерина 8'!D21+#REF!+'Чичерина 16 к. 1'!D21+'пер.Чичерина 24'!D21+'пер. Чичерина 28'!D21+'Калинина 12'!D21+'Калинина 18'!D21+'Калинина 23'!D21+'Пионерская 9'!D21+'Высокая 4'!D21+'Пухова 15'!D21+#REF!+#REF!+'Пухова 17'!D21+'Калинина 4'!D21+'Пионерская 18'!D21+'Чичерина 12 к.1'!D21+'Телевизионная 6 к.1'!D21+#REF!+'Пионерская 2'!D21+'Телевизионная 2 к.1'!D21+'Чичерина 16'!D21+'Чичерина 22'!D21+#REF!+'Ленина 68,8'!D21+'Ленина 67'!D21+'Огарева 20'!D20+'Пролетарская 40'!D20+'Чижевского 4'!D21</f>
        <v>#REF!</v>
      </c>
      <c r="E20" s="8" t="e">
        <f>'Телевизионная 2а'!E20+'Пионерская 16'!E21+' Пионерская 1318 кв.1-50'!E21+'Багговута 12'!E21+'Пионерская 15'!E20+'Социалистическая 3'!E21+'Социалистическая 4'!E21+'Социалистическая 6'!E21+'Социалистическая 6 к.1'!E21+'Социалистическая 9'!E21+'Социалистическая 12'!E21+'Телевизионная 2'!E21+'Телевизионная 4'!E21+'Чичерина 7а'!E21+'Чичерина 8'!E21+#REF!+'Чичерина 16 к. 1'!E21+'пер.Чичерина 24'!E21+'пер. Чичерина 28'!E21+'Калинина 12'!E21+'Калинина 18'!E21+'Калинина 23'!E21+'Пионерская 9'!E21+'Высокая 4'!E21+'Пухова 15'!E21+#REF!+#REF!+'Пухова 17'!E21+'Калинина 4'!E21+'Пионерская 18'!E21+'Чичерина 12 к.1'!E21+'Телевизионная 6 к.1'!E21+#REF!+'Пионерская 2'!E21+'Телевизионная 2 к.1'!E21+'Чичерина 16'!E21+'Чичерина 22'!E21+#REF!+'Ленина 68,8'!E21+'Ленина 67'!E21+'Огарева 20'!E20+'Пролетарская 40'!E20+'Чижевского 4'!E21</f>
        <v>#REF!</v>
      </c>
      <c r="F20" s="8" t="e">
        <f>'Телевизионная 2а'!F20+'Пионерская 16'!F21+' Пионерская 1318 кв.1-50'!F21+'Багговута 12'!F21+'Пионерская 15'!F20+'Социалистическая 3'!F21+'Социалистическая 4'!F21+'Социалистическая 6'!F21+'Социалистическая 6 к.1'!F21+'Социалистическая 9'!F21+'Социалистическая 12'!F21+'Телевизионная 2'!F21+'Телевизионная 4'!F21+'Чичерина 7а'!F21+'Чичерина 8'!F21+#REF!+'Чичерина 16 к. 1'!F21+'пер.Чичерина 24'!F21+'пер. Чичерина 28'!F21+'Калинина 12'!F21+'Калинина 18'!F21+'Калинина 23'!F21+'Пионерская 9'!F21+'Высокая 4'!F21+'Пухова 15'!F21+#REF!+#REF!+'Пухова 17'!F21+'Калинина 4'!F21+'Пионерская 18'!F21+'Чичерина 12 к.1'!F21+'Телевизионная 6 к.1'!F21+#REF!+'Пионерская 2'!F21+'Телевизионная 2 к.1'!F21+'Чичерина 16'!F21+'Чичерина 22'!F21+#REF!+'Ленина 68,8'!F21+'Ленина 67'!F21+'Огарева 20'!F20+'Пролетарская 40'!F20+'Чижевского 4'!F21</f>
        <v>#REF!</v>
      </c>
      <c r="G20" s="8" t="e">
        <f>'Телевизионная 2а'!G20+'Пионерская 16'!G21+' Пионерская 1318 кв.1-50'!G21+'Багговута 12'!G21+'Пионерская 15'!G20+'Социалистическая 3'!G21+'Социалистическая 4'!G21+'Социалистическая 6'!G21+'Социалистическая 6 к.1'!G21+'Социалистическая 9'!G21+'Социалистическая 12'!G21+'Телевизионная 2'!G21+'Телевизионная 4'!G21+'Чичерина 7а'!G21+'Чичерина 8'!G21+#REF!+'Чичерина 16 к. 1'!G21+'пер.Чичерина 24'!G21+'пер. Чичерина 28'!G21+'Калинина 12'!G21+'Калинина 18'!G21+'Калинина 23'!G21+'Пионерская 9'!G21+'Высокая 4'!G21+'Пухова 15'!G21+#REF!+#REF!+'Пухова 17'!G21+'Калинина 4'!G21+'Пионерская 18'!G21+'Чичерина 12 к.1'!G21+'Телевизионная 6 к.1'!G21+#REF!+'Пионерская 2'!G21+'Телевизионная 2 к.1'!G21+'Чичерина 16'!G21+'Чичерина 22'!G21+#REF!+'Ленина 68,8'!G21+'Ленина 67'!G21+'Огарева 20'!G20+'Пролетарская 40'!G20+'Чижевского 4'!G21</f>
        <v>#REF!</v>
      </c>
      <c r="H20" s="28">
        <v>1.2</v>
      </c>
      <c r="I20" s="11">
        <f>H20/H18</f>
        <v>0.17777777777777778</v>
      </c>
    </row>
    <row r="21" spans="1:9" s="3" customFormat="1" ht="30">
      <c r="A21" s="6" t="s">
        <v>20</v>
      </c>
      <c r="B21" s="7" t="s">
        <v>21</v>
      </c>
      <c r="C21" s="25">
        <v>1.51</v>
      </c>
      <c r="D21" s="8" t="e">
        <f>'Телевизионная 2а'!D21+'Пионерская 16'!D22+' Пионерская 1318 кв.1-50'!D22+'Багговута 12'!D22+'Пионерская 15'!D21+'Социалистическая 3'!D22+'Социалистическая 4'!D22+'Социалистическая 6'!D22+'Социалистическая 6 к.1'!D22+'Социалистическая 9'!D22+'Социалистическая 12'!D22+'Телевизионная 2'!D22+'Телевизионная 4'!D22+'Чичерина 7а'!D22+'Чичерина 8'!D22+#REF!+'Чичерина 16 к. 1'!D22+'пер.Чичерина 24'!D22+'пер. Чичерина 28'!D22+'Калинина 12'!D22+'Калинина 18'!D22+'Калинина 23'!D22+'Пионерская 9'!D22+'Высокая 4'!D22+'Пухова 15'!D22+#REF!+#REF!+'Пухова 17'!D22+'Калинина 4'!D22+'Пионерская 18'!D22+'Чичерина 12 к.1'!D22+'Телевизионная 6 к.1'!D22+#REF!+'Пионерская 2'!D22+'Телевизионная 2 к.1'!D22+'Чичерина 16'!D22+'Чичерина 22'!D22+#REF!+'Ленина 68,8'!D22+'Ленина 67'!D22+'Огарева 20'!D21+'Пролетарская 40'!D21+'Чижевского 4'!D22</f>
        <v>#REF!</v>
      </c>
      <c r="E21" s="8" t="e">
        <f>'Телевизионная 2а'!E21+'Пионерская 16'!E22+' Пионерская 1318 кв.1-50'!E22+'Багговута 12'!E22+'Пионерская 15'!E21+'Социалистическая 3'!E22+'Социалистическая 4'!E22+'Социалистическая 6'!E22+'Социалистическая 6 к.1'!E22+'Социалистическая 9'!E22+'Социалистическая 12'!E22+'Телевизионная 2'!E22+'Телевизионная 4'!E22+'Чичерина 7а'!E22+'Чичерина 8'!E22+#REF!+'Чичерина 16 к. 1'!E22+'пер.Чичерина 24'!E22+'пер. Чичерина 28'!E22+'Калинина 12'!E22+'Калинина 18'!E22+'Калинина 23'!E22+'Пионерская 9'!E22+'Высокая 4'!E22+'Пухова 15'!E22+#REF!+#REF!+'Пухова 17'!E22+'Калинина 4'!E22+'Пионерская 18'!E22+'Чичерина 12 к.1'!E22+'Телевизионная 6 к.1'!E22+#REF!+'Пионерская 2'!E22+'Телевизионная 2 к.1'!E22+'Чичерина 16'!E22+'Чичерина 22'!E22+#REF!+'Ленина 68,8'!E22+'Ленина 67'!E22+'Огарева 20'!E21+'Пролетарская 40'!E21+'Чижевского 4'!E22</f>
        <v>#REF!</v>
      </c>
      <c r="F21" s="8" t="e">
        <f>'Телевизионная 2а'!F21+'Пионерская 16'!F22+' Пионерская 1318 кв.1-50'!F22+'Багговута 12'!F22+'Пионерская 15'!F21+'Социалистическая 3'!F22+'Социалистическая 4'!F22+'Социалистическая 6'!F22+'Социалистическая 6 к.1'!F22+'Социалистическая 9'!F22+'Социалистическая 12'!F22+'Телевизионная 2'!F22+'Телевизионная 4'!F22+'Чичерина 7а'!F22+'Чичерина 8'!F22+#REF!+'Чичерина 16 к. 1'!F22+'пер.Чичерина 24'!F22+'пер. Чичерина 28'!F22+'Калинина 12'!F22+'Калинина 18'!F22+'Калинина 23'!F22+'Пионерская 9'!F22+'Высокая 4'!F22+'Пухова 15'!F22+#REF!+#REF!+'Пухова 17'!F22+'Калинина 4'!F22+'Пионерская 18'!F22+'Чичерина 12 к.1'!F22+'Телевизионная 6 к.1'!F22+#REF!+'Пионерская 2'!F22+'Телевизионная 2 к.1'!F22+'Чичерина 16'!F22+'Чичерина 22'!F22+#REF!+'Ленина 68,8'!F22+'Ленина 67'!F22+'Огарева 20'!F21+'Пролетарская 40'!F21+'Чижевского 4'!F22</f>
        <v>#REF!</v>
      </c>
      <c r="G21" s="8" t="e">
        <f>'Телевизионная 2а'!G21+'Пионерская 16'!G22+' Пионерская 1318 кв.1-50'!G22+'Багговута 12'!G22+'Пионерская 15'!G21+'Социалистическая 3'!G22+'Социалистическая 4'!G22+'Социалистическая 6'!G22+'Социалистическая 6 к.1'!G22+'Социалистическая 9'!G22+'Социалистическая 12'!G22+'Телевизионная 2'!G22+'Телевизионная 4'!G22+'Чичерина 7а'!G22+'Чичерина 8'!G22+#REF!+'Чичерина 16 к. 1'!G22+'пер.Чичерина 24'!G22+'пер. Чичерина 28'!G22+'Калинина 12'!G22+'Калинина 18'!G22+'Калинина 23'!G22+'Пионерская 9'!G22+'Высокая 4'!G22+'Пухова 15'!G22+#REF!+#REF!+'Пухова 17'!G22+'Калинина 4'!G22+'Пионерская 18'!G22+'Чичерина 12 к.1'!G22+'Телевизионная 6 к.1'!G22+#REF!+'Пионерская 2'!G22+'Телевизионная 2 к.1'!G22+'Чичерина 16'!G22+'Чичерина 22'!G22+#REF!+'Ленина 68,8'!G22+'Ленина 67'!G22+'Огарева 20'!G21+'Пролетарская 40'!G21+'Чижевского 4'!G22</f>
        <v>#REF!</v>
      </c>
      <c r="H21" s="28">
        <v>1.51</v>
      </c>
      <c r="I21" s="11">
        <f>H21/H18</f>
        <v>0.2237037037037037</v>
      </c>
    </row>
    <row r="22" spans="1:9" s="3" customFormat="1" ht="30">
      <c r="A22" s="6" t="s">
        <v>22</v>
      </c>
      <c r="B22" s="7" t="s">
        <v>23</v>
      </c>
      <c r="C22" s="25">
        <v>1.63</v>
      </c>
      <c r="D22" s="8" t="e">
        <f>'Телевизионная 2а'!D22+'Пионерская 16'!D23+' Пионерская 1318 кв.1-50'!D23+'Багговута 12'!D23+'Пионерская 15'!D22+'Социалистическая 3'!D23+'Социалистическая 4'!D23+'Социалистическая 6'!D23+'Социалистическая 6 к.1'!D23+'Социалистическая 9'!D23+'Социалистическая 12'!D23+'Телевизионная 2'!D23+'Телевизионная 4'!D23+'Чичерина 7а'!D23+'Чичерина 8'!D23+#REF!+'Чичерина 16 к. 1'!D23+'пер.Чичерина 24'!D23+'пер. Чичерина 28'!D23+'Калинина 12'!D23+'Калинина 18'!D23+'Калинина 23'!D23+'Пионерская 9'!D23+'Высокая 4'!D23+'Пухова 15'!D23+#REF!+#REF!+'Пухова 17'!D23+'Калинина 4'!D23+'Пионерская 18'!D23+'Чичерина 12 к.1'!D23+'Телевизионная 6 к.1'!D23+#REF!+'Пионерская 2'!D23+'Телевизионная 2 к.1'!D23+'Чичерина 16'!D23+'Чичерина 22'!D23+#REF!+'Ленина 68,8'!D23+'Ленина 67'!D23+'Огарева 20'!D22+'Пролетарская 40'!D22+'Чижевского 4'!D23</f>
        <v>#REF!</v>
      </c>
      <c r="E22" s="8" t="e">
        <f>'Телевизионная 2а'!E22+'Пионерская 16'!E23+' Пионерская 1318 кв.1-50'!E23+'Багговута 12'!E23+'Пионерская 15'!E22+'Социалистическая 3'!E23+'Социалистическая 4'!E23+'Социалистическая 6'!E23+'Социалистическая 6 к.1'!E23+'Социалистическая 9'!E23+'Социалистическая 12'!E23+'Телевизионная 2'!E23+'Телевизионная 4'!E23+'Чичерина 7а'!E23+'Чичерина 8'!E23+#REF!+'Чичерина 16 к. 1'!E23+'пер.Чичерина 24'!E23+'пер. Чичерина 28'!E23+'Калинина 12'!E23+'Калинина 18'!E23+'Калинина 23'!E23+'Пионерская 9'!E23+'Высокая 4'!E23+'Пухова 15'!E23+#REF!+#REF!+'Пухова 17'!E23+'Калинина 4'!E23+'Пионерская 18'!E23+'Чичерина 12 к.1'!E23+'Телевизионная 6 к.1'!E23+#REF!+'Пионерская 2'!E23+'Телевизионная 2 к.1'!E23+'Чичерина 16'!E23+'Чичерина 22'!E23+#REF!+'Ленина 68,8'!E23+'Ленина 67'!E23+'Огарева 20'!E22+'Пролетарская 40'!E22+'Чижевского 4'!E23</f>
        <v>#REF!</v>
      </c>
      <c r="F22" s="8" t="e">
        <f>'Телевизионная 2а'!F22+'Пионерская 16'!F23+' Пионерская 1318 кв.1-50'!F23+'Багговута 12'!F23+'Пионерская 15'!F22+'Социалистическая 3'!F23+'Социалистическая 4'!F23+'Социалистическая 6'!F23+'Социалистическая 6 к.1'!F23+'Социалистическая 9'!F23+'Социалистическая 12'!F23+'Телевизионная 2'!F23+'Телевизионная 4'!F23+'Чичерина 7а'!F23+'Чичерина 8'!F23+#REF!+'Чичерина 16 к. 1'!F23+'пер.Чичерина 24'!F23+'пер. Чичерина 28'!F23+'Калинина 12'!F23+'Калинина 18'!F23+'Калинина 23'!F23+'Пионерская 9'!F23+'Высокая 4'!F23+'Пухова 15'!F23+#REF!+#REF!+'Пухова 17'!F23+'Калинина 4'!F23+'Пионерская 18'!F23+'Чичерина 12 к.1'!F23+'Телевизионная 6 к.1'!F23+#REF!+'Пионерская 2'!F23+'Телевизионная 2 к.1'!F23+'Чичерина 16'!F23+'Чичерина 22'!F23+#REF!+'Ленина 68,8'!F23+'Ленина 67'!F23+'Огарева 20'!F22+'Пролетарская 40'!F22+'Чижевского 4'!F23</f>
        <v>#REF!</v>
      </c>
      <c r="G22" s="8" t="e">
        <f>'Телевизионная 2а'!G22+'Пионерская 16'!G23+' Пионерская 1318 кв.1-50'!G23+'Багговута 12'!G23+'Пионерская 15'!G22+'Социалистическая 3'!G23+'Социалистическая 4'!G23+'Социалистическая 6'!G23+'Социалистическая 6 к.1'!G23+'Социалистическая 9'!G23+'Социалистическая 12'!G23+'Телевизионная 2'!G23+'Телевизионная 4'!G23+'Чичерина 7а'!G23+'Чичерина 8'!G23+#REF!+'Чичерина 16 к. 1'!G23+'пер.Чичерина 24'!G23+'пер. Чичерина 28'!G23+'Калинина 12'!G23+'Калинина 18'!G23+'Калинина 23'!G23+'Пионерская 9'!G23+'Высокая 4'!G23+'Пухова 15'!G23+#REF!+#REF!+'Пухова 17'!G23+'Калинина 4'!G23+'Пионерская 18'!G23+'Чичерина 12 к.1'!G23+'Телевизионная 6 к.1'!G23+#REF!+'Пионерская 2'!G23+'Телевизионная 2 к.1'!G23+'Чичерина 16'!G23+'Чичерина 22'!G23+#REF!+'Ленина 68,8'!G23+'Ленина 67'!G23+'Огарева 20'!G22+'Пролетарская 40'!G22+'Чижевского 4'!G23</f>
        <v>#REF!</v>
      </c>
      <c r="H22" s="28">
        <v>1.63</v>
      </c>
      <c r="I22" s="11">
        <f>H22/H18</f>
        <v>0.24148148148148146</v>
      </c>
    </row>
    <row r="23" spans="1:7" ht="15">
      <c r="A23" s="7" t="s">
        <v>25</v>
      </c>
      <c r="B23" s="7" t="s">
        <v>26</v>
      </c>
      <c r="C23" s="25">
        <v>3.15</v>
      </c>
      <c r="D23" s="8" t="e">
        <f>'Телевизионная 2а'!D23+'Пионерская 16'!#REF!+' Пионерская 1318 кв.1-50'!#REF!+'Багговута 12'!D24+'Пионерская 15'!D23+'Социалистическая 3'!D24+'Социалистическая 4'!D24+'Социалистическая 6'!D24+'Социалистическая 6 к.1'!D24+'Социалистическая 9'!D24+'Социалистическая 12'!D24+'Телевизионная 2'!D24+'Телевизионная 4'!D24+'Чичерина 7а'!D24+'Чичерина 8'!D24+#REF!+'Чичерина 16 к. 1'!D24+'пер.Чичерина 24'!D24+'пер. Чичерина 28'!D24+'Калинина 12'!D25+'Калинина 18'!D24+'Калинина 23'!D24+'Пионерская 9'!D24+'Высокая 4'!D24+'Пухова 15'!D24+#REF!+#REF!+'Пухова 17'!D24+'Калинина 4'!D24+'Пионерская 18'!D24+'Чичерина 12 к.1'!D24+'Телевизионная 6 к.1'!D24+#REF!+'Пионерская 2'!D24+'Телевизионная 2 к.1'!D24+'Чичерина 16'!D24+'Чичерина 22'!D24+#REF!+'Ленина 68,8'!D24+'Ленина 67'!D24+'Огарева 20'!D23+'Пролетарская 40'!D23+'Чижевского 4'!D24</f>
        <v>#REF!</v>
      </c>
      <c r="E23" s="8" t="e">
        <f>'Телевизионная 2а'!E23+'Пионерская 16'!#REF!+' Пионерская 1318 кв.1-50'!#REF!+'Багговута 12'!E24+'Пионерская 15'!E23+'Социалистическая 3'!E24+'Социалистическая 4'!E24+'Социалистическая 6'!E24+'Социалистическая 6 к.1'!E24+'Социалистическая 9'!E24+'Социалистическая 12'!E24+'Телевизионная 2'!E24+'Телевизионная 4'!E24+'Чичерина 7а'!E24+'Чичерина 8'!E24+#REF!+'Чичерина 16 к. 1'!E24+'пер.Чичерина 24'!E24+'пер. Чичерина 28'!E24+'Калинина 12'!E25+'Калинина 18'!E24+'Калинина 23'!E24+'Пионерская 9'!E24+'Высокая 4'!E24+'Пухова 15'!E24+#REF!+#REF!+'Пухова 17'!E24+'Калинина 4'!E24+'Пионерская 18'!E24+'Чичерина 12 к.1'!E24+'Телевизионная 6 к.1'!E24+#REF!+'Пионерская 2'!E24+'Телевизионная 2 к.1'!E24+'Чичерина 16'!E24+'Чичерина 22'!E24+#REF!+'Ленина 68,8'!E24+'Ленина 67'!E24+'Огарева 20'!E23+'Пролетарская 40'!E23+'Чижевского 4'!E24</f>
        <v>#REF!</v>
      </c>
      <c r="F23" s="8" t="e">
        <f>'Телевизионная 2а'!F23+'Пионерская 16'!#REF!+' Пионерская 1318 кв.1-50'!#REF!+'Багговута 12'!F24+'Пионерская 15'!F23+'Социалистическая 3'!F24+'Социалистическая 4'!F24+'Социалистическая 6'!F24+'Социалистическая 6 к.1'!F24+'Социалистическая 9'!F24+'Социалистическая 12'!F24+'Телевизионная 2'!F24+'Телевизионная 4'!F24+'Чичерина 7а'!F24+'Чичерина 8'!F24+#REF!+'Чичерина 16 к. 1'!F24+'пер.Чичерина 24'!F24+'пер. Чичерина 28'!F24+'Калинина 12'!F25+'Калинина 18'!F24+'Калинина 23'!F24+'Пионерская 9'!F24+'Высокая 4'!F24+'Пухова 15'!F24+#REF!+#REF!+'Пухова 17'!F24+'Калинина 4'!F24+'Пионерская 18'!F24+'Чичерина 12 к.1'!F24+'Телевизионная 6 к.1'!F24+#REF!+'Пионерская 2'!F24+'Телевизионная 2 к.1'!F24+'Чичерина 16'!F24+'Чичерина 22'!F24+#REF!+'Ленина 68,8'!F24+'Ленина 67'!F24+'Огарева 20'!F23+'Пролетарская 40'!F23+'Чижевского 4'!F24</f>
        <v>#REF!</v>
      </c>
      <c r="G23" s="8" t="e">
        <f>'Телевизионная 2а'!G23+'Пионерская 16'!#REF!+' Пионерская 1318 кв.1-50'!#REF!+'Багговута 12'!G24+'Пионерская 15'!G23+'Социалистическая 3'!G24+'Социалистическая 4'!G24+'Социалистическая 6'!G24+'Социалистическая 6 к.1'!G24+'Социалистическая 9'!G24+'Социалистическая 12'!G24+'Телевизионная 2'!G24+'Телевизионная 4'!G24+'Чичерина 7а'!G24+'Чичерина 8'!G24+#REF!+'Чичерина 16 к. 1'!G24+'пер.Чичерина 24'!G24+'пер. Чичерина 28'!G24+'Калинина 12'!G25+'Калинина 18'!G24+'Калинина 23'!G24+'Пионерская 9'!G24+'Высокая 4'!G24+'Пухова 15'!G24+#REF!+#REF!+'Пухова 17'!G24+'Калинина 4'!G24+'Пионерская 18'!G24+'Чичерина 12 к.1'!G24+'Телевизионная 6 к.1'!G24+#REF!+'Пионерская 2'!G24+'Телевизионная 2 к.1'!G24+'Чичерина 16'!G24+'Чичерина 22'!G24+#REF!+'Ленина 68,8'!G24+'Ленина 67'!G24+'Огарева 20'!G23+'Пролетарская 40'!G23+'Чижевского 4'!G24</f>
        <v>#REF!</v>
      </c>
    </row>
    <row r="24" spans="1:7" ht="15">
      <c r="A24" s="7" t="s">
        <v>27</v>
      </c>
      <c r="B24" s="7" t="s">
        <v>28</v>
      </c>
      <c r="C24" s="12">
        <v>2.6</v>
      </c>
      <c r="D24" s="8" t="e">
        <f>'Телевизионная 2а'!D24+'Пионерская 16'!#REF!+' Пионерская 1318 кв.1-50'!D24+'Багговута 12'!D25+'Пионерская 15'!D24+'Социалистическая 3'!D25+'Социалистическая 4'!D25+'Социалистическая 6'!D25+'Социалистическая 6 к.1'!D25+'Социалистическая 9'!D25+'Социалистическая 12'!D25+'Телевизионная 2'!D25+'Телевизионная 4'!D25+'Чичерина 7а'!D25+'Чичерина 8'!D25+#REF!+'Чичерина 16 к. 1'!D25+'пер.Чичерина 24'!D25+'пер. Чичерина 28'!D25+'Калинина 12'!D26+'Калинина 18'!D25+'Калинина 23'!D25+'Пионерская 9'!D25+'Высокая 4'!D25+'Пухова 15'!D25+#REF!+#REF!+'Пухова 17'!D25+'Калинина 4'!D25+'Пионерская 18'!D25+'Чичерина 12 к.1'!D25+'Телевизионная 6 к.1'!D25+#REF!+'Пионерская 2'!D25+'Телевизионная 2 к.1'!D25+'Чичерина 16'!D25+'Чичерина 22'!D25+#REF!+'Ленина 68,8'!D25+'Ленина 67'!D25+'Огарева 20'!D24+'Пролетарская 40'!D24+'Чижевского 4'!D25</f>
        <v>#REF!</v>
      </c>
      <c r="E24" s="8" t="e">
        <f>'Телевизионная 2а'!E24+'Пионерская 16'!#REF!+' Пионерская 1318 кв.1-50'!E24+'Багговута 12'!E25+'Пионерская 15'!E24+'Социалистическая 3'!E25+'Социалистическая 4'!E25+'Социалистическая 6'!E25+'Социалистическая 6 к.1'!E25+'Социалистическая 9'!E25+'Социалистическая 12'!E25+'Телевизионная 2'!E25+'Телевизионная 4'!E25+'Чичерина 7а'!E25+'Чичерина 8'!E25+#REF!+'Чичерина 16 к. 1'!E25+'пер.Чичерина 24'!E25+'пер. Чичерина 28'!E25+'Калинина 12'!E26+'Калинина 18'!E25+'Калинина 23'!E25+'Пионерская 9'!E25+'Высокая 4'!E25+'Пухова 15'!E25+#REF!+#REF!+'Пухова 17'!E25+'Калинина 4'!E25+'Пионерская 18'!E25+'Чичерина 12 к.1'!E25+'Телевизионная 6 к.1'!E25+#REF!+'Пионерская 2'!E25+'Телевизионная 2 к.1'!E25+'Чичерина 16'!E25+'Чичерина 22'!E25+#REF!+'Ленина 68,8'!E25+'Ленина 67'!E25+'Огарева 20'!E24+'Пролетарская 40'!E24+'Чижевского 4'!E25</f>
        <v>#REF!</v>
      </c>
      <c r="F24" s="8" t="e">
        <f>'Телевизионная 2а'!F24+'Пионерская 16'!#REF!+' Пионерская 1318 кв.1-50'!F24+'Багговута 12'!F25+'Пионерская 15'!F24+'Социалистическая 3'!F25+'Социалистическая 4'!F25+'Социалистическая 6'!F25+'Социалистическая 6 к.1'!F25+'Социалистическая 9'!F25+'Социалистическая 12'!F25+'Телевизионная 2'!F25+'Телевизионная 4'!F25+'Чичерина 7а'!F25+'Чичерина 8'!F25+#REF!+'Чичерина 16 к. 1'!F25+'пер.Чичерина 24'!F25+'пер. Чичерина 28'!F25+'Калинина 12'!F26+'Калинина 18'!F25+'Калинина 23'!F25+'Пионерская 9'!F25+'Высокая 4'!F25+'Пухова 15'!F25+#REF!+#REF!+'Пухова 17'!F25+'Калинина 4'!F25+'Пионерская 18'!F25+'Чичерина 12 к.1'!F25+'Телевизионная 6 к.1'!F25+#REF!+'Пионерская 2'!F25+'Телевизионная 2 к.1'!F25+'Чичерина 16'!F25+'Чичерина 22'!F25+#REF!+'Ленина 68,8'!F25+'Ленина 67'!F25+'Огарева 20'!F24+'Пролетарская 40'!F24+'Чижевского 4'!F25</f>
        <v>#REF!</v>
      </c>
      <c r="G24" s="8" t="e">
        <f>'Телевизионная 2а'!G24+'Пионерская 16'!#REF!+' Пионерская 1318 кв.1-50'!G24+'Багговута 12'!G25+'Пионерская 15'!G24+'Социалистическая 3'!G25+'Социалистическая 4'!G25+'Социалистическая 6'!G25+'Социалистическая 6 к.1'!G25+'Социалистическая 9'!G25+'Социалистическая 12'!G25+'Телевизионная 2'!G25+'Телевизионная 4'!G25+'Чичерина 7а'!G25+'Чичерина 8'!G25+#REF!+'Чичерина 16 к. 1'!G25+'пер.Чичерина 24'!G25+'пер. Чичерина 28'!G25+'Калинина 12'!G26+'Калинина 18'!G25+'Калинина 23'!G25+'Пионерская 9'!G25+'Высокая 4'!G25+'Пухова 15'!G25+#REF!+#REF!+'Пухова 17'!G25+'Калинина 4'!G25+'Пионерская 18'!G25+'Чичерина 12 к.1'!G25+'Телевизионная 6 к.1'!G25+#REF!+'Пионерская 2'!G25+'Телевизионная 2 к.1'!G25+'Чичерина 16'!G25+'Чичерина 22'!G25+#REF!+'Ленина 68,8'!G25+'Ленина 67'!G25+'Огарева 20'!G24+'Пролетарская 40'!G24+'Чижевского 4'!G25</f>
        <v>#REF!</v>
      </c>
    </row>
    <row r="25" spans="1:7" ht="30">
      <c r="A25" s="7" t="s">
        <v>29</v>
      </c>
      <c r="B25" s="7" t="s">
        <v>30</v>
      </c>
      <c r="C25" s="25">
        <v>0.81</v>
      </c>
      <c r="D25" s="8" t="e">
        <f>'Телевизионная 2а'!D25+'Пионерская 16'!D24+' Пионерская 1318 кв.1-50'!D25+'Багговута 12'!D26+'Пионерская 15'!D25+'Социалистическая 3'!D26+'Социалистическая 4'!D26+'Социалистическая 6'!D26+'Социалистическая 6 к.1'!D26+'Социалистическая 9'!D26+'Социалистическая 12'!D26+'Телевизионная 2'!D26+'Телевизионная 4'!D26+'Чичерина 7а'!D26+'Чичерина 8'!D26+#REF!+'Чичерина 16 к. 1'!D26+'пер.Чичерина 24'!#REF!+'пер. Чичерина 28'!D26+'Калинина 12'!D27+'Калинина 18'!D26+'Калинина 23'!D26+'Пионерская 9'!D26+'Высокая 4'!D26+'Пухова 15'!D26+#REF!+#REF!+'Пухова 17'!D26+'Калинина 4'!D26+'Пионерская 18'!D26+'Чичерина 12 к.1'!D26+'Телевизионная 6 к.1'!D26+#REF!+'Пионерская 2'!D26+'Телевизионная 2 к.1'!D26+'Чичерина 16'!D26+'Чичерина 22'!D26+#REF!+'Ленина 68,8'!D26+'Ленина 67'!D26+'Огарева 20'!D25+'Пролетарская 40'!D25+'Чижевского 4'!D26</f>
        <v>#REF!</v>
      </c>
      <c r="E25" s="8" t="e">
        <f>'Телевизионная 2а'!E25+'Пионерская 16'!E24+' Пионерская 1318 кв.1-50'!E25+'Багговута 12'!E26+'Пионерская 15'!E25+'Социалистическая 3'!E26+'Социалистическая 4'!E26+'Социалистическая 6'!E26+'Социалистическая 6 к.1'!E26+'Социалистическая 9'!E26+'Социалистическая 12'!E26+'Телевизионная 2'!E26+'Телевизионная 4'!E26+'Чичерина 7а'!E26+'Чичерина 8'!E26+#REF!+'Чичерина 16 к. 1'!E26+'пер.Чичерина 24'!#REF!+'пер. Чичерина 28'!E26+'Калинина 12'!E27+'Калинина 18'!E26+'Калинина 23'!E26+'Пионерская 9'!E26+'Высокая 4'!E26+'Пухова 15'!E26+#REF!+#REF!+'Пухова 17'!E26+'Калинина 4'!E26+'Пионерская 18'!E26+'Чичерина 12 к.1'!E26+'Телевизионная 6 к.1'!E26+#REF!+'Пионерская 2'!E26+'Телевизионная 2 к.1'!E26+'Чичерина 16'!E26+'Чичерина 22'!E26+#REF!+'Ленина 68,8'!E26+'Ленина 67'!E26+'Огарева 20'!E25+'Пролетарская 40'!E25+'Чижевского 4'!E26</f>
        <v>#REF!</v>
      </c>
      <c r="F25" s="8" t="e">
        <f>'Телевизионная 2а'!F25+'Пионерская 16'!F24+' Пионерская 1318 кв.1-50'!F25+'Багговута 12'!F26+'Пионерская 15'!F25+'Социалистическая 3'!F26+'Социалистическая 4'!F26+'Социалистическая 6'!F26+'Социалистическая 6 к.1'!F26+'Социалистическая 9'!F26+'Социалистическая 12'!F26+'Телевизионная 2'!F26+'Телевизионная 4'!F26+'Чичерина 7а'!F26+'Чичерина 8'!F26+#REF!+'Чичерина 16 к. 1'!F26+'пер.Чичерина 24'!#REF!+'пер. Чичерина 28'!F26+'Калинина 12'!F27+'Калинина 18'!F26+'Калинина 23'!F26+'Пионерская 9'!F26+'Высокая 4'!F26+'Пухова 15'!F26+#REF!+#REF!+'Пухова 17'!F26+'Калинина 4'!F26+'Пионерская 18'!F26+'Чичерина 12 к.1'!F26+'Телевизионная 6 к.1'!F26+#REF!+'Пионерская 2'!F26+'Телевизионная 2 к.1'!F26+'Чичерина 16'!F26+'Чичерина 22'!F26+#REF!+'Ленина 68,8'!F26+'Ленина 67'!F26+'Огарева 20'!F25+'Пролетарская 40'!F25+'Чижевского 4'!F26</f>
        <v>#REF!</v>
      </c>
      <c r="G25" s="8" t="e">
        <f>'Телевизионная 2а'!G25+'Пионерская 16'!G24+' Пионерская 1318 кв.1-50'!G25+'Багговута 12'!G26+'Пионерская 15'!G25+'Социалистическая 3'!G26+'Социалистическая 4'!G26+'Социалистическая 6'!G26+'Социалистическая 6 к.1'!G26+'Социалистическая 9'!G26+'Социалистическая 12'!G26+'Телевизионная 2'!G26+'Телевизионная 4'!G26+'Чичерина 7а'!G26+'Чичерина 8'!G26+#REF!+'Чичерина 16 к. 1'!G26+'пер.Чичерина 24'!#REF!+'пер. Чичерина 28'!G26+'Калинина 12'!G27+'Калинина 18'!G26+'Калинина 23'!G26+'Пионерская 9'!G26+'Высокая 4'!G26+'Пухова 15'!G26+#REF!+#REF!+'Пухова 17'!G26+'Калинина 4'!G26+'Пионерская 18'!G26+'Чичерина 12 к.1'!G26+'Телевизионная 6 к.1'!G26+#REF!+'Пионерская 2'!G26+'Телевизионная 2 к.1'!G26+'Чичерина 16'!G26+'Чичерина 22'!G26+#REF!+'Ленина 68,8'!G26+'Ленина 67'!G26+'Огарева 20'!G25+'Пролетарская 40'!G25+'Чижевского 4'!G26</f>
        <v>#REF!</v>
      </c>
    </row>
    <row r="26" spans="1:7" ht="15">
      <c r="A26" s="7" t="s">
        <v>31</v>
      </c>
      <c r="B26" s="24" t="s">
        <v>119</v>
      </c>
      <c r="C26" s="25">
        <v>1.61</v>
      </c>
      <c r="D26" s="8" t="e">
        <f>'Телевизионная 2а'!D26+'Пионерская 16'!D25+' Пионерская 1318 кв.1-50'!D26+'Багговута 12'!D27+'Пионерская 15'!D26+'Социалистическая 3'!D27+'Социалистическая 4'!D27+'Социалистическая 6'!D27+'Социалистическая 6 к.1'!D27+'Социалистическая 9'!D27+'Социалистическая 12'!D27+'Телевизионная 2'!D27+'Телевизионная 4'!D27+'Чичерина 7а'!D27+'Чичерина 8'!D27+#REF!+'Чичерина 16 к. 1'!D27+'пер.Чичерина 24'!D26+'пер. Чичерина 28'!D27+'Калинина 12'!D28+'Калинина 18'!D27+'Калинина 23'!D27+'Пионерская 9'!D27+'Высокая 4'!D27+'Пухова 15'!D27+#REF!+#REF!+'Пухова 17'!D27+'Калинина 4'!D27+'Пионерская 18'!D27+'Чичерина 12 к.1'!D27+'Телевизионная 6 к.1'!D27+#REF!+'Пионерская 2'!D27+'Телевизионная 2 к.1'!D27+'Чичерина 16'!D27+'Чичерина 22'!D27+#REF!+'Ленина 68,8'!D27+'Ленина 67'!D27+'Огарева 20'!D26+'Пролетарская 40'!D26+'Чижевского 4'!D27</f>
        <v>#REF!</v>
      </c>
      <c r="E26" s="8" t="e">
        <f>'Телевизионная 2а'!E26+'Пионерская 16'!E25+' Пионерская 1318 кв.1-50'!E26+'Багговута 12'!E27+'Пионерская 15'!E26+'Социалистическая 3'!E27+'Социалистическая 4'!E27+'Социалистическая 6'!E27+'Социалистическая 6 к.1'!E27+'Социалистическая 9'!E27+'Социалистическая 12'!E27+'Телевизионная 2'!E27+'Телевизионная 4'!E27+'Чичерина 7а'!E27+'Чичерина 8'!E27+#REF!+'Чичерина 16 к. 1'!E27+'пер.Чичерина 24'!E26+'пер. Чичерина 28'!E27+'Калинина 12'!E28+'Калинина 18'!E27+'Калинина 23'!E27+'Пионерская 9'!E27+'Высокая 4'!E27+'Пухова 15'!E27+#REF!+#REF!+'Пухова 17'!E27+'Калинина 4'!E27+'Пионерская 18'!E27+'Чичерина 12 к.1'!E27+'Телевизионная 6 к.1'!E27+#REF!+'Пионерская 2'!E27+'Телевизионная 2 к.1'!E27+'Чичерина 16'!E27+'Чичерина 22'!E27+#REF!+'Ленина 68,8'!E27+'Ленина 67'!E27+'Огарева 20'!E26+'Пролетарская 40'!E26+'Чижевского 4'!E27</f>
        <v>#REF!</v>
      </c>
      <c r="F26" s="8" t="e">
        <f>'Телевизионная 2а'!F26+'Пионерская 16'!F25+' Пионерская 1318 кв.1-50'!F26+'Багговута 12'!F27+'Пионерская 15'!F26+'Социалистическая 3'!F27+'Социалистическая 4'!F27+'Социалистическая 6'!F27+'Социалистическая 6 к.1'!F27+'Социалистическая 9'!F27+'Социалистическая 12'!F27+'Телевизионная 2'!F27+'Телевизионная 4'!F27+'Чичерина 7а'!F27+'Чичерина 8'!F27+#REF!+'Чичерина 16 к. 1'!F27+'пер.Чичерина 24'!F26+'пер. Чичерина 28'!F27+'Калинина 12'!F28+'Калинина 18'!F27+'Калинина 23'!F27+'Пионерская 9'!F27+'Высокая 4'!F27+'Пухова 15'!F27+#REF!+#REF!+'Пухова 17'!F27+'Калинина 4'!F27+'Пионерская 18'!F27+'Чичерина 12 к.1'!F27+'Телевизионная 6 к.1'!F27+#REF!+'Пионерская 2'!F27+'Телевизионная 2 к.1'!F27+'Чичерина 16'!F27+'Чичерина 22'!F27+#REF!+'Ленина 68,8'!F27+'Ленина 67'!F27+'Огарева 20'!F26+'Пролетарская 40'!F26+'Чижевского 4'!F27</f>
        <v>#REF!</v>
      </c>
      <c r="G26" s="8" t="e">
        <f>'Телевизионная 2а'!G26+'Пионерская 16'!G25+' Пионерская 1318 кв.1-50'!G26+'Багговута 12'!G27+'Пионерская 15'!G26+'Социалистическая 3'!G27+'Социалистическая 4'!G27+'Социалистическая 6'!G27+'Социалистическая 6 к.1'!G27+'Социалистическая 9'!G27+'Социалистическая 12'!G27+'Телевизионная 2'!G27+'Телевизионная 4'!G27+'Чичерина 7а'!G27+'Чичерина 8'!G27+#REF!+'Чичерина 16 к. 1'!G27+'пер.Чичерина 24'!G26+'пер. Чичерина 28'!G27+'Калинина 12'!G28+'Калинина 18'!G27+'Калинина 23'!G27+'Пионерская 9'!G27+'Высокая 4'!G27+'Пухова 15'!G27+#REF!+#REF!+'Пухова 17'!G27+'Калинина 4'!G27+'Пионерская 18'!G27+'Чичерина 12 к.1'!G27+'Телевизионная 6 к.1'!G27+#REF!+'Пионерская 2'!G27+'Телевизионная 2 к.1'!G27+'Чичерина 16'!G27+'Чичерина 22'!G27+#REF!+'Ленина 68,8'!G27+'Ленина 67'!G27+'Огарева 20'!G26+'Пролетарская 40'!G26+'Чижевского 4'!G27</f>
        <v>#REF!</v>
      </c>
    </row>
    <row r="27" spans="1:7" ht="30">
      <c r="A27" s="7" t="s">
        <v>33</v>
      </c>
      <c r="B27" s="7" t="s">
        <v>34</v>
      </c>
      <c r="C27" s="25">
        <v>0</v>
      </c>
      <c r="D27" s="8" t="e">
        <f>'Телевизионная 2а'!D27+'Пионерская 16'!#REF!+' Пионерская 1318 кв.1-50'!D27+'Багговута 12'!D28+'Пионерская 15'!D27+'Социалистическая 3'!D28+'Социалистическая 4'!D28+'Социалистическая 6'!D28+'Социалистическая 6 к.1'!D28+'Социалистическая 9'!D28+'Социалистическая 12'!D28+'Телевизионная 2'!D28+'Телевизионная 4'!D28+'Чичерина 7а'!D28+'Чичерина 8'!D28+#REF!+'Чичерина 16 к. 1'!D28+'пер.Чичерина 24'!D27+'пер. Чичерина 28'!D28+'Калинина 12'!D29+'Калинина 18'!D28+'Калинина 23'!D28+'Пионерская 9'!D28+'Высокая 4'!D28+'Пухова 15'!D28+#REF!+#REF!+'Пухова 17'!D28+'Калинина 4'!D28+'Пионерская 18'!D28+'Чичерина 12 к.1'!D28+'Телевизионная 6 к.1'!D28+#REF!+'Пионерская 2'!D28+'Телевизионная 2 к.1'!D28+'Чичерина 16'!D28+'Чичерина 22'!D28+#REF!+'Ленина 68,8'!D28+'Ленина 67'!D28+'Огарева 20'!D27+'Пролетарская 40'!D27+'Чижевского 4'!D28</f>
        <v>#REF!</v>
      </c>
      <c r="E27" s="8" t="e">
        <f>'Телевизионная 2а'!E27+'Пионерская 16'!#REF!+' Пионерская 1318 кв.1-50'!E27+'Багговута 12'!E28+'Пионерская 15'!E27+'Социалистическая 3'!E28+'Социалистическая 4'!E28+'Социалистическая 6'!E28+'Социалистическая 6 к.1'!E28+'Социалистическая 9'!E28+'Социалистическая 12'!E28+'Телевизионная 2'!E28+'Телевизионная 4'!E28+'Чичерина 7а'!E28+'Чичерина 8'!E28+#REF!+'Чичерина 16 к. 1'!E28+'пер.Чичерина 24'!E27+'пер. Чичерина 28'!E28+'Калинина 12'!E29+'Калинина 18'!E28+'Калинина 23'!E28+'Пионерская 9'!E28+'Высокая 4'!E28+'Пухова 15'!E28+#REF!+#REF!+'Пухова 17'!E28+'Калинина 4'!E28+'Пионерская 18'!E28+'Чичерина 12 к.1'!E28+'Телевизионная 6 к.1'!E28+#REF!+'Пионерская 2'!E28+'Телевизионная 2 к.1'!E28+'Чичерина 16'!E28+'Чичерина 22'!E28+#REF!+'Ленина 68,8'!E28+'Ленина 67'!E28+'Огарева 20'!E27+'Пролетарская 40'!E27+'Чижевского 4'!E28</f>
        <v>#REF!</v>
      </c>
      <c r="F27" s="8" t="e">
        <f>'Телевизионная 2а'!F27+'Пионерская 16'!#REF!+' Пионерская 1318 кв.1-50'!F27+'Багговута 12'!F28+'Пионерская 15'!F27+'Социалистическая 3'!F28+'Социалистическая 4'!F28+'Социалистическая 6'!F28+'Социалистическая 6 к.1'!F28+'Социалистическая 9'!F28+'Социалистическая 12'!F28+'Телевизионная 2'!F28+'Телевизионная 4'!F28+'Чичерина 7а'!F28+'Чичерина 8'!F28+#REF!+'Чичерина 16 к. 1'!F28+'пер.Чичерина 24'!F27+'пер. Чичерина 28'!F28+'Калинина 12'!F29+'Калинина 18'!F28+'Калинина 23'!F28+'Пионерская 9'!F28+'Высокая 4'!F28+'Пухова 15'!F28+#REF!+#REF!+'Пухова 17'!F28+'Калинина 4'!F28+'Пионерская 18'!F28+'Чичерина 12 к.1'!F28+'Телевизионная 6 к.1'!F28+#REF!+'Пионерская 2'!F28+'Телевизионная 2 к.1'!F28+'Чичерина 16'!F28+'Чичерина 22'!F28+#REF!+'Ленина 68,8'!F28+'Ленина 67'!F28+'Огарева 20'!F27+'Пролетарская 40'!F27+'Чижевского 4'!F28</f>
        <v>#REF!</v>
      </c>
      <c r="G27" s="8" t="e">
        <f>'Телевизионная 2а'!G27+'Пионерская 16'!#REF!+' Пионерская 1318 кв.1-50'!G27+'Багговута 12'!G28+'Пионерская 15'!G27+'Социалистическая 3'!G28+'Социалистическая 4'!G28+'Социалистическая 6'!G28+'Социалистическая 6 к.1'!G28+'Социалистическая 9'!G28+'Социалистическая 12'!G28+'Телевизионная 2'!G28+'Телевизионная 4'!G28+'Чичерина 7а'!G28+'Чичерина 8'!G28+#REF!+'Чичерина 16 к. 1'!G28+'пер.Чичерина 24'!G27+'пер. Чичерина 28'!G28+'Калинина 12'!G29+'Калинина 18'!G28+'Калинина 23'!G28+'Пионерская 9'!G28+'Высокая 4'!G28+'Пухова 15'!G28+#REF!+#REF!+'Пухова 17'!G28+'Калинина 4'!G28+'Пионерская 18'!G28+'Чичерина 12 к.1'!G28+'Телевизионная 6 к.1'!G28+#REF!+'Пионерская 2'!G28+'Телевизионная 2 к.1'!G28+'Чичерина 16'!G28+'Чичерина 22'!G28+#REF!+'Ленина 68,8'!G28+'Ленина 67'!G28+'Огарева 20'!G27+'Пролетарская 40'!G27+'Чижевского 4'!G28</f>
        <v>#REF!</v>
      </c>
    </row>
    <row r="28" spans="1:7" ht="30">
      <c r="A28" s="7" t="s">
        <v>35</v>
      </c>
      <c r="B28" s="7" t="s">
        <v>36</v>
      </c>
      <c r="C28" s="25">
        <f>SUM(C29:C32)</f>
        <v>1680.9299999999998</v>
      </c>
      <c r="D28" s="8" t="e">
        <f>'Телевизионная 2а'!D28+'Пионерская 16'!D26+' Пионерская 1318 кв.1-50'!D28+'Багговута 12'!D29+'Пионерская 15'!D28+'Социалистическая 3'!D29+'Социалистическая 4'!D29+'Социалистическая 6'!D29+'Социалистическая 6 к.1'!D29+'Социалистическая 9'!D29+'Социалистическая 12'!D29+'Телевизионная 2'!D29+'Телевизионная 4'!D29+'Чичерина 7а'!D29+'Чичерина 8'!D29+#REF!+'Чичерина 16 к. 1'!D29+'пер.Чичерина 24'!D28+'пер. Чичерина 28'!D29+'Калинина 12'!D30+'Калинина 18'!D29+'Калинина 23'!D29+'Пионерская 9'!D29+'Высокая 4'!D29+'Пухова 15'!D29+#REF!+#REF!+'Пухова 17'!D29+'Калинина 4'!D30+'Пионерская 18'!D29+'Чичерина 12 к.1'!D29+'Телевизионная 6 к.1'!D29+#REF!+'Пионерская 2'!D29+'Телевизионная 2 к.1'!D29+'Чичерина 16'!D29+'Чичерина 22'!D29+#REF!+'Ленина 68,8'!D30+'Ленина 67'!D29+'Огарева 20'!D28+'Пролетарская 40'!D28+'Чижевского 4'!D29</f>
        <v>#REF!</v>
      </c>
      <c r="E28" s="8" t="e">
        <f>'Телевизионная 2а'!E28+'Пионерская 16'!E26+' Пионерская 1318 кв.1-50'!E28+'Багговута 12'!E29+'Пионерская 15'!E28+'Социалистическая 3'!E29+'Социалистическая 4'!E29+'Социалистическая 6'!E29+'Социалистическая 6 к.1'!E29+'Социалистическая 9'!E29+'Социалистическая 12'!E29+'Телевизионная 2'!E29+'Телевизионная 4'!E29+'Чичерина 7а'!E29+'Чичерина 8'!E29+#REF!+'Чичерина 16 к. 1'!E29+'пер.Чичерина 24'!E28+'пер. Чичерина 28'!E29+'Калинина 12'!E30+'Калинина 18'!E29+'Калинина 23'!E29+'Пионерская 9'!E29+'Высокая 4'!E29+'Пухова 15'!E29+#REF!+#REF!+'Пухова 17'!E29+'Калинина 4'!E30+'Пионерская 18'!E29+'Чичерина 12 к.1'!E29+'Телевизионная 6 к.1'!E29+#REF!+'Пионерская 2'!E29+'Телевизионная 2 к.1'!E29+'Чичерина 16'!E29+'Чичерина 22'!E29+#REF!+'Ленина 68,8'!E30+'Ленина 67'!E29+'Огарева 20'!E28+'Пролетарская 40'!E28+'Чижевского 4'!E29</f>
        <v>#REF!</v>
      </c>
      <c r="F28" s="8" t="e">
        <f>'Телевизионная 2а'!F28+'Пионерская 16'!F26+' Пионерская 1318 кв.1-50'!F28+'Багговута 12'!F29+'Пионерская 15'!F28+'Социалистическая 3'!F29+'Социалистическая 4'!F29+'Социалистическая 6'!F29+'Социалистическая 6 к.1'!F29+'Социалистическая 9'!F29+'Социалистическая 12'!F29+'Телевизионная 2'!F29+'Телевизионная 4'!F29+'Чичерина 7а'!F29+'Чичерина 8'!F29+#REF!+'Чичерина 16 к. 1'!F29+'пер.Чичерина 24'!F28+'пер. Чичерина 28'!F29+'Калинина 12'!F30+'Калинина 18'!F29+'Калинина 23'!F29+'Пионерская 9'!F29+'Высокая 4'!F29+'Пухова 15'!F29+#REF!+#REF!+'Пухова 17'!F29+'Калинина 4'!F30+'Пионерская 18'!F29+'Чичерина 12 к.1'!F29+'Телевизионная 6 к.1'!F29+#REF!+'Пионерская 2'!F29+'Телевизионная 2 к.1'!F29+'Чичерина 16'!F29+'Чичерина 22'!F29+#REF!+'Ленина 68,8'!F30+'Ленина 67'!F29+'Огарева 20'!F28+'Пролетарская 40'!F28+'Чижевского 4'!F29</f>
        <v>#REF!</v>
      </c>
      <c r="G28" s="8" t="e">
        <f>'Телевизионная 2а'!G28+'Пионерская 16'!G26+' Пионерская 1318 кв.1-50'!G28+'Багговута 12'!G29+'Пионерская 15'!G28+'Социалистическая 3'!G29+'Социалистическая 4'!G29+'Социалистическая 6'!G29+'Социалистическая 6 к.1'!G29+'Социалистическая 9'!G29+'Социалистическая 12'!G29+'Телевизионная 2'!G29+'Телевизионная 4'!G29+'Чичерина 7а'!G29+'Чичерина 8'!G29+#REF!+'Чичерина 16 к. 1'!G29+'пер.Чичерина 24'!G28+'пер. Чичерина 28'!G29+'Калинина 12'!G30+'Калинина 18'!G29+'Калинина 23'!G29+'Пионерская 9'!G29+'Высокая 4'!G29+'Пухова 15'!G29+#REF!+#REF!+'Пухова 17'!G29+'Калинина 4'!G30+'Пионерская 18'!G29+'Чичерина 12 к.1'!G29+'Телевизионная 6 к.1'!G29+#REF!+'Пионерская 2'!G29+'Телевизионная 2 к.1'!G29+'Чичерина 16'!G29+'Чичерина 22'!G29+#REF!+'Ленина 68,8'!G30+'Ленина 67'!G29+'Огарева 20'!G28+'Пролетарская 40'!G28+'Чижевского 4'!G29</f>
        <v>#REF!</v>
      </c>
    </row>
    <row r="29" spans="1:7" ht="15">
      <c r="A29" s="7" t="s">
        <v>37</v>
      </c>
      <c r="B29" s="7" t="s">
        <v>96</v>
      </c>
      <c r="C29" s="12">
        <v>3.13</v>
      </c>
      <c r="D29" s="8" t="e">
        <f>'Телевизионная 2а'!D29+'Пионерская 16'!D27+' Пионерская 1318 кв.1-50'!D29+'Багговута 12'!D30+'Пионерская 15'!D29+'Социалистическая 3'!D30+'Социалистическая 4'!D30+'Социалистическая 6'!D30+'Социалистическая 6 к.1'!D30+'Социалистическая 9'!D30+'Социалистическая 12'!D30+'Телевизионная 2'!D30+'Телевизионная 4'!D30+'Чичерина 7а'!D30+'Чичерина 8'!D30+#REF!+'Чичерина 16 к. 1'!D30+'пер.Чичерина 24'!D29+'пер. Чичерина 28'!D30+'Калинина 12'!D31+'Калинина 18'!D30+'Калинина 23'!D30+'Пионерская 9'!D30+'Высокая 4'!D30+'Пухова 15'!D30+#REF!+#REF!+'Пухова 17'!D30+'Калинина 4'!D31+'Пионерская 18'!D30+'Чичерина 12 к.1'!D30+'Телевизионная 6 к.1'!D30+#REF!+'Пионерская 2'!D30+'Телевизионная 2 к.1'!D30+'Чичерина 16'!D30+'Чичерина 22'!D30+#REF!+'Ленина 68,8'!D31+'Ленина 67'!D30+'Огарева 20'!D29+'Пролетарская 40'!D29+'Чижевского 4'!D30</f>
        <v>#REF!</v>
      </c>
      <c r="E29" s="8" t="e">
        <f>'Телевизионная 2а'!E29+'Пионерская 16'!E27+' Пионерская 1318 кв.1-50'!E29+'Багговута 12'!E30+'Пионерская 15'!E29+'Социалистическая 3'!E30+'Социалистическая 4'!E30+'Социалистическая 6'!E30+'Социалистическая 6 к.1'!E30+'Социалистическая 9'!E30+'Социалистическая 12'!E30+'Телевизионная 2'!E30+'Телевизионная 4'!E30+'Чичерина 7а'!E30+'Чичерина 8'!E30+#REF!+'Чичерина 16 к. 1'!E30+'пер.Чичерина 24'!E29+'пер. Чичерина 28'!E30+'Калинина 12'!E31+'Калинина 18'!E30+'Калинина 23'!E30+'Пионерская 9'!E30+'Высокая 4'!E30+'Пухова 15'!E30+#REF!+#REF!+'Пухова 17'!E30+'Калинина 4'!E31+'Пионерская 18'!E30+'Чичерина 12 к.1'!E30+'Телевизионная 6 к.1'!E30+#REF!+'Пионерская 2'!E30+'Телевизионная 2 к.1'!E30+'Чичерина 16'!E30+'Чичерина 22'!E30+#REF!+'Ленина 68,8'!E31+'Ленина 67'!E30+'Огарева 20'!E29+'Пролетарская 40'!E29+'Чижевского 4'!E30</f>
        <v>#REF!</v>
      </c>
      <c r="F29" s="8" t="e">
        <f>'Телевизионная 2а'!F29+'Пионерская 16'!F27+' Пионерская 1318 кв.1-50'!F29+'Багговута 12'!F30+'Пионерская 15'!F29+'Социалистическая 3'!F30+'Социалистическая 4'!F30+'Социалистическая 6'!F30+'Социалистическая 6 к.1'!F30+'Социалистическая 9'!F30+'Социалистическая 12'!F30+'Телевизионная 2'!F30+'Телевизионная 4'!F30+'Чичерина 7а'!F30+'Чичерина 8'!F30+#REF!+'Чичерина 16 к. 1'!F30+'пер.Чичерина 24'!F29+'пер. Чичерина 28'!F30+'Калинина 12'!F31+'Калинина 18'!F30+'Калинина 23'!F30+'Пионерская 9'!F30+'Высокая 4'!F30+'Пухова 15'!F30+#REF!+#REF!+'Пухова 17'!F30+'Калинина 4'!F31+'Пионерская 18'!F30+'Чичерина 12 к.1'!F30+'Телевизионная 6 к.1'!F30+#REF!+'Пионерская 2'!F30+'Телевизионная 2 к.1'!F30+'Чичерина 16'!F30+'Чичерина 22'!F30+#REF!+'Ленина 68,8'!F31+'Ленина 67'!F30+'Огарева 20'!F29+'Пролетарская 40'!F29+'Чижевского 4'!F30</f>
        <v>#REF!</v>
      </c>
      <c r="G29" s="8" t="e">
        <f>'Телевизионная 2а'!G29+'Пионерская 16'!G27+' Пионерская 1318 кв.1-50'!G29+'Багговута 12'!G30+'Пионерская 15'!G29+'Социалистическая 3'!G30+'Социалистическая 4'!G30+'Социалистическая 6'!G30+'Социалистическая 6 к.1'!G30+'Социалистическая 9'!G30+'Социалистическая 12'!G30+'Телевизионная 2'!G30+'Телевизионная 4'!G30+'Чичерина 7а'!G30+'Чичерина 8'!G30+#REF!+'Чичерина 16 к. 1'!G30+'пер.Чичерина 24'!G29+'пер. Чичерина 28'!G30+'Калинина 12'!G31+'Калинина 18'!G30+'Калинина 23'!G30+'Пионерская 9'!G30+'Высокая 4'!G30+'Пухова 15'!G30+#REF!+#REF!+'Пухова 17'!G30+'Калинина 4'!G31+'Пионерская 18'!G30+'Чичерина 12 к.1'!G30+'Телевизионная 6 к.1'!G30+#REF!+'Пионерская 2'!G30+'Телевизионная 2 к.1'!G30+'Чичерина 16'!G30+'Чичерина 22'!G30+#REF!+'Ленина 68,8'!G31+'Ленина 67'!G30+'Огарева 20'!G29+'Пролетарская 40'!G29+'Чижевского 4'!G30</f>
        <v>#REF!</v>
      </c>
    </row>
    <row r="30" spans="1:7" ht="15">
      <c r="A30" s="7" t="s">
        <v>39</v>
      </c>
      <c r="B30" s="7" t="s">
        <v>38</v>
      </c>
      <c r="C30" s="12">
        <v>18.21</v>
      </c>
      <c r="D30" s="8" t="e">
        <f>'Телевизионная 2а'!D30+'Пионерская 16'!D28+' Пионерская 1318 кв.1-50'!D30+'Багговута 12'!D31+'Пионерская 15'!D30+'Социалистическая 3'!D31+'Социалистическая 4'!D31+'Социалистическая 6'!D31+'Социалистическая 6 к.1'!D31+'Социалистическая 9'!D31+'Социалистическая 12'!D31+'Телевизионная 2'!D31+'Телевизионная 4'!D31+'Чичерина 7а'!D31+'Чичерина 8'!D31+#REF!+'Чичерина 16 к. 1'!D31+'пер.Чичерина 24'!D30+'пер. Чичерина 28'!D31+'Калинина 12'!D32+'Калинина 18'!D31+'Калинина 23'!D31+'Пионерская 9'!D31+'Высокая 4'!D31+'Пухова 15'!D31+#REF!+#REF!+'Пухова 17'!D31+'Калинина 4'!D32+'Пионерская 18'!D31+'Чичерина 12 к.1'!D31+'Телевизионная 6 к.1'!D31+#REF!+'Пионерская 2'!D31+'Телевизионная 2 к.1'!D31+'Чичерина 16'!D31+'Чичерина 22'!D31+#REF!+'Ленина 68,8'!D32+'Ленина 67'!D31+'Огарева 20'!D30+'Пролетарская 40'!D30+'Чижевского 4'!D31</f>
        <v>#REF!</v>
      </c>
      <c r="E30" s="8" t="e">
        <f>'Телевизионная 2а'!E30+'Пионерская 16'!E28+' Пионерская 1318 кв.1-50'!E30+'Багговута 12'!E31+'Пионерская 15'!E30+'Социалистическая 3'!E31+'Социалистическая 4'!E31+'Социалистическая 6'!E31+'Социалистическая 6 к.1'!E31+'Социалистическая 9'!E31+'Социалистическая 12'!E31+'Телевизионная 2'!E31+'Телевизионная 4'!E31+'Чичерина 7а'!E31+'Чичерина 8'!E31+#REF!+'Чичерина 16 к. 1'!E31+'пер.Чичерина 24'!E30+'пер. Чичерина 28'!E31+'Калинина 12'!E32+'Калинина 18'!E31+'Калинина 23'!E31+'Пионерская 9'!E31+'Высокая 4'!E31+'Пухова 15'!E31+#REF!+#REF!+'Пухова 17'!E31+'Калинина 4'!E32+'Пионерская 18'!E31+'Чичерина 12 к.1'!E31+'Телевизионная 6 к.1'!E31+#REF!+'Пионерская 2'!E31+'Телевизионная 2 к.1'!E31+'Чичерина 16'!E31+'Чичерина 22'!E31+#REF!+'Ленина 68,8'!E32+'Ленина 67'!E31+'Огарева 20'!E30+'Пролетарская 40'!E30+'Чижевского 4'!E31</f>
        <v>#REF!</v>
      </c>
      <c r="F30" s="8" t="e">
        <f>'Телевизионная 2а'!F30+'Пионерская 16'!F28+' Пионерская 1318 кв.1-50'!F30+'Багговута 12'!F31+'Пионерская 15'!F30+'Социалистическая 3'!F31+'Социалистическая 4'!F31+'Социалистическая 6'!F31+'Социалистическая 6 к.1'!F31+'Социалистическая 9'!F31+'Социалистическая 12'!F31+'Телевизионная 2'!F31+'Телевизионная 4'!F31+'Чичерина 7а'!F31+'Чичерина 8'!F31+#REF!+'Чичерина 16 к. 1'!F31+'пер.Чичерина 24'!F30+'пер. Чичерина 28'!F31+'Калинина 12'!F32+'Калинина 18'!F31+'Калинина 23'!F31+'Пионерская 9'!F31+'Высокая 4'!F31+'Пухова 15'!F31+#REF!+#REF!+'Пухова 17'!F31+'Калинина 4'!F32+'Пионерская 18'!F31+'Чичерина 12 к.1'!F31+'Телевизионная 6 к.1'!F31+#REF!+'Пионерская 2'!F31+'Телевизионная 2 к.1'!F31+'Чичерина 16'!F31+'Чичерина 22'!F31+#REF!+'Ленина 68,8'!F32+'Ленина 67'!F31+'Огарева 20'!F30+'Пролетарская 40'!F30+'Чижевского 4'!F31</f>
        <v>#REF!</v>
      </c>
      <c r="G30" s="8" t="e">
        <f>'Телевизионная 2а'!G30+'Пионерская 16'!G28+' Пионерская 1318 кв.1-50'!G30+'Багговута 12'!G31+'Пионерская 15'!G30+'Социалистическая 3'!G31+'Социалистическая 4'!G31+'Социалистическая 6'!G31+'Социалистическая 6 к.1'!G31+'Социалистическая 9'!G31+'Социалистическая 12'!G31+'Телевизионная 2'!G31+'Телевизионная 4'!G31+'Чичерина 7а'!G31+'Чичерина 8'!G31+#REF!+'Чичерина 16 к. 1'!G31+'пер.Чичерина 24'!G30+'пер. Чичерина 28'!G31+'Калинина 12'!G32+'Калинина 18'!G31+'Калинина 23'!G31+'Пионерская 9'!G31+'Высокая 4'!G31+'Пухова 15'!G31+#REF!+#REF!+'Пухова 17'!G31+'Калинина 4'!G32+'Пионерская 18'!G31+'Чичерина 12 к.1'!G31+'Телевизионная 6 к.1'!G31+#REF!+'Пионерская 2'!G31+'Телевизионная 2 к.1'!G31+'Чичерина 16'!G31+'Чичерина 22'!G31+#REF!+'Ленина 68,8'!G32+'Ленина 67'!G31+'Огарева 20'!G30+'Пролетарская 40'!G30+'Чижевского 4'!G31</f>
        <v>#REF!</v>
      </c>
    </row>
    <row r="31" spans="1:7" ht="15">
      <c r="A31" s="7" t="s">
        <v>42</v>
      </c>
      <c r="B31" s="7" t="s">
        <v>40</v>
      </c>
      <c r="C31" s="12">
        <v>115.3</v>
      </c>
      <c r="D31" s="8" t="e">
        <f>'Телевизионная 2а'!D31+'Пионерская 16'!D29+' Пионерская 1318 кв.1-50'!D31+'Багговута 12'!D32+'Пионерская 15'!D31+'Социалистическая 3'!D32+'Социалистическая 4'!D32+'Социалистическая 6'!D32+'Социалистическая 6 к.1'!D32+'Социалистическая 9'!D32+'Социалистическая 12'!D32+'Телевизионная 2'!D32+'Телевизионная 4'!D32+'Чичерина 7а'!D32+'Чичерина 8'!D32+#REF!+'Чичерина 16 к. 1'!D32+'пер.Чичерина 24'!D31+'пер. Чичерина 28'!D32+'Калинина 12'!D33+'Калинина 18'!D32+'Калинина 23'!D32+'Пионерская 9'!D32+'Высокая 4'!D32+'Пухова 15'!D32+#REF!+#REF!+'Пухова 17'!D32+'Калинина 4'!D33+'Пионерская 18'!D32+'Чичерина 12 к.1'!D32+'Телевизионная 6 к.1'!D32+#REF!+'Пионерская 2'!D32+'Телевизионная 2 к.1'!D32+'Чичерина 16'!D32+'Чичерина 22'!D32+#REF!+'Ленина 68,8'!D33+'Ленина 67'!D32+'Огарева 20'!D31+'Пролетарская 40'!D31+'Чижевского 4'!D32</f>
        <v>#REF!</v>
      </c>
      <c r="E31" s="8" t="e">
        <f>'Телевизионная 2а'!E31+'Пионерская 16'!E29+' Пионерская 1318 кв.1-50'!E31+'Багговута 12'!E32+'Пионерская 15'!E31+'Социалистическая 3'!E32+'Социалистическая 4'!E32+'Социалистическая 6'!E32+'Социалистическая 6 к.1'!E32+'Социалистическая 9'!E32+'Социалистическая 12'!E32+'Телевизионная 2'!E32+'Телевизионная 4'!E32+'Чичерина 7а'!E32+'Чичерина 8'!E32+#REF!+'Чичерина 16 к. 1'!E32+'пер.Чичерина 24'!E31+'пер. Чичерина 28'!E32+'Калинина 12'!E33+'Калинина 18'!E32+'Калинина 23'!E32+'Пионерская 9'!E32+'Высокая 4'!E32+'Пухова 15'!E32+#REF!+#REF!+'Пухова 17'!E32+'Калинина 4'!E33+'Пионерская 18'!E32+'Чичерина 12 к.1'!E32+'Телевизионная 6 к.1'!E32+#REF!+'Пионерская 2'!E32+'Телевизионная 2 к.1'!E32+'Чичерина 16'!E32+'Чичерина 22'!E32+#REF!+'Ленина 68,8'!E33+'Ленина 67'!E32+'Огарева 20'!E31+'Пролетарская 40'!E31+'Чижевского 4'!E32</f>
        <v>#REF!</v>
      </c>
      <c r="F31" s="8" t="e">
        <f>'Телевизионная 2а'!F31+'Пионерская 16'!F29+' Пионерская 1318 кв.1-50'!F31+'Багговута 12'!F32+'Пионерская 15'!F31+'Социалистическая 3'!F32+'Социалистическая 4'!F32+'Социалистическая 6'!F32+'Социалистическая 6 к.1'!F32+'Социалистическая 9'!F32+'Социалистическая 12'!F32+'Телевизионная 2'!F32+'Телевизионная 4'!F32+'Чичерина 7а'!F32+'Чичерина 8'!F32+#REF!+'Чичерина 16 к. 1'!F32+'пер.Чичерина 24'!F31+'пер. Чичерина 28'!F32+'Калинина 12'!F33+'Калинина 18'!F32+'Калинина 23'!F32+'Пионерская 9'!F32+'Высокая 4'!F32+'Пухова 15'!F32+#REF!+#REF!+'Пухова 17'!F32+'Калинина 4'!F33+'Пионерская 18'!F32+'Чичерина 12 к.1'!F32+'Телевизионная 6 к.1'!F32+#REF!+'Пионерская 2'!F32+'Телевизионная 2 к.1'!F32+'Чичерина 16'!F32+'Чичерина 22'!F32+#REF!+'Ленина 68,8'!F33+'Ленина 67'!F32+'Огарева 20'!F31+'Пролетарская 40'!F31+'Чижевского 4'!F32</f>
        <v>#REF!</v>
      </c>
      <c r="G31" s="8" t="e">
        <f>'Телевизионная 2а'!G31+'Пионерская 16'!G29+' Пионерская 1318 кв.1-50'!G31+'Багговута 12'!G32+'Пионерская 15'!G31+'Социалистическая 3'!G32+'Социалистическая 4'!G32+'Социалистическая 6'!G32+'Социалистическая 6 к.1'!G32+'Социалистическая 9'!G32+'Социалистическая 12'!G32+'Телевизионная 2'!G32+'Телевизионная 4'!G32+'Чичерина 7а'!G32+'Чичерина 8'!G32+#REF!+'Чичерина 16 к. 1'!G32+'пер.Чичерина 24'!G31+'пер. Чичерина 28'!G32+'Калинина 12'!G33+'Калинина 18'!G32+'Калинина 23'!G32+'Пионерская 9'!G32+'Высокая 4'!G32+'Пухова 15'!G32+#REF!+#REF!+'Пухова 17'!G32+'Калинина 4'!G33+'Пионерская 18'!G32+'Чичерина 12 к.1'!G32+'Телевизионная 6 к.1'!G32+#REF!+'Пионерская 2'!G32+'Телевизионная 2 к.1'!G32+'Чичерина 16'!G32+'Чичерина 22'!G32+#REF!+'Ленина 68,8'!G33+'Ленина 67'!G32+'Огарева 20'!G31+'Пролетарская 40'!G31+'Чижевского 4'!G32</f>
        <v>#REF!</v>
      </c>
    </row>
    <row r="32" spans="1:7" ht="15">
      <c r="A32" s="7" t="s">
        <v>41</v>
      </c>
      <c r="B32" s="7" t="s">
        <v>43</v>
      </c>
      <c r="C32" s="12">
        <v>1544.29</v>
      </c>
      <c r="D32" s="8" t="e">
        <f>'Телевизионная 2а'!D32+'Пионерская 16'!D30+' Пионерская 1318 кв.1-50'!D32+'Багговута 12'!#REF!+'Пионерская 15'!D32+'Социалистическая 3'!D33+'Социалистическая 4'!D33+'Социалистическая 6'!D33+'Социалистическая 6 к.1'!D33+'Социалистическая 9'!D33+'Социалистическая 12'!D33+'Телевизионная 2'!D33+'Телевизионная 4'!D33+'Чичерина 7а'!D33+'Чичерина 8'!D33+#REF!+'Чичерина 16 к. 1'!D33+'пер.Чичерина 24'!D32+'пер. Чичерина 28'!D33+'Калинина 12'!D34+'Калинина 18'!D33+'Калинина 23'!D33+'Пионерская 9'!D33+'Высокая 4'!D33+'Пухова 15'!D33+#REF!+#REF!+'Пухова 17'!D33+'Калинина 4'!D34+'Пионерская 18'!D33+'Чичерина 12 к.1'!D33+'Телевизионная 6 к.1'!D33+#REF!+'Пионерская 2'!D33+'Телевизионная 2 к.1'!D33+'Чичерина 16'!D33+'Чичерина 22'!D33+#REF!+'Ленина 68,8'!D34+'Ленина 67'!D33+'Огарева 20'!D32+'Пролетарская 40'!D32+'Чижевского 4'!D33</f>
        <v>#REF!</v>
      </c>
      <c r="E32" s="8" t="e">
        <f>'Телевизионная 2а'!E32+'Пионерская 16'!E30+' Пионерская 1318 кв.1-50'!E32+'Багговута 12'!#REF!+'Пионерская 15'!E32+'Социалистическая 3'!E33+'Социалистическая 4'!E33+'Социалистическая 6'!E33+'Социалистическая 6 к.1'!E33+'Социалистическая 9'!E33+'Социалистическая 12'!E33+'Телевизионная 2'!E33+'Телевизионная 4'!E33+'Чичерина 7а'!E33+'Чичерина 8'!E33+#REF!+'Чичерина 16 к. 1'!E33+'пер.Чичерина 24'!E32+'пер. Чичерина 28'!E33+'Калинина 12'!E34+'Калинина 18'!E33+'Калинина 23'!E33+'Пионерская 9'!E33+'Высокая 4'!E33+'Пухова 15'!E33+#REF!+#REF!+'Пухова 17'!E33+'Калинина 4'!E34+'Пионерская 18'!E33+'Чичерина 12 к.1'!E33+'Телевизионная 6 к.1'!E33+#REF!+'Пионерская 2'!E33+'Телевизионная 2 к.1'!E33+'Чичерина 16'!E33+'Чичерина 22'!E33+#REF!+'Ленина 68,8'!E34+'Ленина 67'!E33+'Огарева 20'!E32+'Пролетарская 40'!E32+'Чижевского 4'!E33</f>
        <v>#REF!</v>
      </c>
      <c r="F32" s="8" t="e">
        <f>'Телевизионная 2а'!F32+'Пионерская 16'!F30+' Пионерская 1318 кв.1-50'!F32+'Багговута 12'!#REF!+'Пионерская 15'!F32+'Социалистическая 3'!F33+'Социалистическая 4'!F33+'Социалистическая 6'!F33+'Социалистическая 6 к.1'!F33+'Социалистическая 9'!F33+'Социалистическая 12'!F33+'Телевизионная 2'!F33+'Телевизионная 4'!F33+'Чичерина 7а'!F33+'Чичерина 8'!F33+#REF!+'Чичерина 16 к. 1'!F33+'пер.Чичерина 24'!F32+'пер. Чичерина 28'!F33+'Калинина 12'!F34+'Калинина 18'!F33+'Калинина 23'!F33+'Пионерская 9'!F33+'Высокая 4'!F33+'Пухова 15'!F33+#REF!+#REF!+'Пухова 17'!F33+'Калинина 4'!F34+'Пионерская 18'!F33+'Чичерина 12 к.1'!F33+'Телевизионная 6 к.1'!F33+#REF!+'Пионерская 2'!F33+'Телевизионная 2 к.1'!F33+'Чичерина 16'!F33+'Чичерина 22'!F33+#REF!+'Ленина 68,8'!F34+'Ленина 67'!F33+'Огарева 20'!F32+'Пролетарская 40'!F32+'Чижевского 4'!F33</f>
        <v>#REF!</v>
      </c>
      <c r="G32" s="8" t="e">
        <f>'Телевизионная 2а'!G32+'Пионерская 16'!G30+' Пионерская 1318 кв.1-50'!G32+'Багговута 12'!#REF!+'Пионерская 15'!G32+'Социалистическая 3'!G33+'Социалистическая 4'!G33+'Социалистическая 6'!G33+'Социалистическая 6 к.1'!G33+'Социалистическая 9'!G33+'Социалистическая 12'!G33+'Телевизионная 2'!G33+'Телевизионная 4'!G33+'Чичерина 7а'!G33+'Чичерина 8'!G33+#REF!+'Чичерина 16 к. 1'!G33+'пер.Чичерина 24'!G32+'пер. Чичерина 28'!G33+'Калинина 12'!G34+'Калинина 18'!G33+'Калинина 23'!G33+'Пионерская 9'!G33+'Высокая 4'!G33+'Пухова 15'!G33+#REF!+#REF!+'Пухова 17'!G33+'Калинина 4'!G34+'Пионерская 18'!G33+'Чичерина 12 к.1'!G33+'Телевизионная 6 к.1'!G33+#REF!+'Пионерская 2'!G33+'Телевизионная 2 к.1'!G33+'Чичерина 16'!G33+'Чичерина 22'!G33+#REF!+'Ленина 68,8'!G34+'Ленина 67'!G33+'Огарева 20'!G32+'Пролетарская 40'!G32+'Чижевского 4'!G33</f>
        <v>#REF!</v>
      </c>
    </row>
    <row r="33" spans="1:10" s="16" customFormat="1" ht="13.5">
      <c r="A33" s="413" t="s">
        <v>97</v>
      </c>
      <c r="B33" s="414"/>
      <c r="C33" s="415"/>
      <c r="D33" s="15" t="e">
        <f aca="true" t="shared" si="0" ref="D33:J33">D18+D23+D24+D25+D28</f>
        <v>#REF!</v>
      </c>
      <c r="E33" s="15" t="e">
        <f t="shared" si="0"/>
        <v>#REF!</v>
      </c>
      <c r="F33" s="15" t="e">
        <f t="shared" si="0"/>
        <v>#REF!</v>
      </c>
      <c r="G33" s="15" t="e">
        <f t="shared" si="0"/>
        <v>#REF!</v>
      </c>
      <c r="H33" s="15">
        <f t="shared" si="0"/>
        <v>6.75</v>
      </c>
      <c r="I33" s="15">
        <f t="shared" si="0"/>
        <v>0</v>
      </c>
      <c r="J33" s="15">
        <f t="shared" si="0"/>
        <v>0</v>
      </c>
    </row>
    <row r="34" s="3" customFormat="1" ht="15"/>
    <row r="35" spans="1:9" s="3" customFormat="1" ht="15">
      <c r="A35" s="3" t="s">
        <v>55</v>
      </c>
      <c r="G35" s="3" t="s">
        <v>49</v>
      </c>
      <c r="I35" s="3" t="s">
        <v>93</v>
      </c>
    </row>
    <row r="36" s="3" customFormat="1" ht="15"/>
    <row r="37" s="3" customFormat="1" ht="15"/>
    <row r="38" s="3" customFormat="1" ht="15">
      <c r="G38" s="4" t="s">
        <v>99</v>
      </c>
    </row>
    <row r="39" s="3" customFormat="1" ht="15"/>
    <row r="40" s="3" customFormat="1" ht="15"/>
    <row r="41" s="3" customFormat="1" ht="15">
      <c r="A41" s="3" t="s">
        <v>50</v>
      </c>
    </row>
    <row r="42" spans="3:7" s="3" customFormat="1" ht="15">
      <c r="C42" s="10" t="s">
        <v>51</v>
      </c>
      <c r="E42" s="10"/>
      <c r="F42" s="10"/>
      <c r="G42" s="10"/>
    </row>
    <row r="43" s="3" customFormat="1" ht="15"/>
    <row r="44" s="3" customFormat="1" ht="15"/>
  </sheetData>
  <sheetProtection/>
  <mergeCells count="8">
    <mergeCell ref="A15:I15"/>
    <mergeCell ref="A33:C33"/>
    <mergeCell ref="A1:I1"/>
    <mergeCell ref="A2:I2"/>
    <mergeCell ref="A3:I3"/>
    <mergeCell ref="A5:I5"/>
    <mergeCell ref="A13:I13"/>
    <mergeCell ref="A14:I1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P59"/>
  <sheetViews>
    <sheetView zoomScalePageLayoutView="0" workbookViewId="0" topLeftCell="A22">
      <selection activeCell="F26" sqref="F26"/>
    </sheetView>
  </sheetViews>
  <sheetFormatPr defaultColWidth="9.140625" defaultRowHeight="15" outlineLevelCol="1"/>
  <cols>
    <col min="1" max="1" width="4.7109375" style="35" customWidth="1"/>
    <col min="2" max="2" width="40.57421875" style="35" customWidth="1"/>
    <col min="3" max="3" width="13.140625" style="35" customWidth="1"/>
    <col min="4" max="5" width="13.140625" style="35" bestFit="1" customWidth="1"/>
    <col min="6" max="6" width="15.42187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4" width="14.7109375" style="35" customWidth="1"/>
    <col min="15" max="15" width="15.7109375" style="35" customWidth="1"/>
    <col min="16" max="16" width="11.00390625" style="35" customWidth="1"/>
    <col min="17" max="17" width="9.140625" style="35" customWidth="1"/>
    <col min="18" max="18" width="13.140625" style="35" bestFit="1" customWidth="1"/>
    <col min="19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9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3.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6" s="71" customFormat="1" ht="16.5" customHeight="1">
      <c r="A7" s="71" t="s">
        <v>2</v>
      </c>
      <c r="F7" s="132" t="s">
        <v>57</v>
      </c>
    </row>
    <row r="8" spans="1:6" s="71" customFormat="1" ht="15">
      <c r="A8" s="71" t="s">
        <v>3</v>
      </c>
      <c r="F8" s="132" t="s">
        <v>58</v>
      </c>
    </row>
    <row r="9" s="71" customFormat="1" ht="12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1">
        <v>124977.93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'[1]Багговута 12'!$G$36</f>
        <v>21227.41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'[1]Багговута 12'!$G$37</f>
        <v>-18376.408699999993</v>
      </c>
      <c r="H16" s="66"/>
      <c r="I16" s="66"/>
    </row>
    <row r="17" s="71" customFormat="1" ht="7.5" customHeight="1"/>
    <row r="18" spans="1:8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  <c r="H18" s="76"/>
    </row>
    <row r="19" spans="1:16" s="175" customFormat="1" ht="14.25">
      <c r="A19" s="79" t="s">
        <v>14</v>
      </c>
      <c r="B19" s="140" t="s">
        <v>15</v>
      </c>
      <c r="C19" s="141">
        <f>C20+C21+C22+C23</f>
        <v>9.53</v>
      </c>
      <c r="D19" s="80">
        <v>334760.72</v>
      </c>
      <c r="E19" s="80">
        <v>326810.69</v>
      </c>
      <c r="F19" s="80">
        <f aca="true" t="shared" si="0" ref="F19:F25">D19</f>
        <v>334760.72</v>
      </c>
      <c r="G19" s="81">
        <f aca="true" t="shared" si="1" ref="G19:G27">D19-E19</f>
        <v>7950.02999999997</v>
      </c>
      <c r="H19" s="174">
        <f>C19</f>
        <v>9.53</v>
      </c>
      <c r="N19" s="174"/>
      <c r="O19" s="174"/>
      <c r="P19" s="174"/>
    </row>
    <row r="20" spans="1:9" s="71" customFormat="1" ht="15">
      <c r="A20" s="85" t="s">
        <v>16</v>
      </c>
      <c r="B20" s="145" t="s">
        <v>17</v>
      </c>
      <c r="C20" s="103">
        <v>3.34</v>
      </c>
      <c r="D20" s="87">
        <f>D19*I20</f>
        <v>117324.32369359914</v>
      </c>
      <c r="E20" s="87">
        <f>E19*I20</f>
        <v>114538.05924449107</v>
      </c>
      <c r="F20" s="87">
        <f t="shared" si="0"/>
        <v>117324.32369359914</v>
      </c>
      <c r="G20" s="88">
        <f t="shared" si="1"/>
        <v>2786.264449108072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145" t="s">
        <v>19</v>
      </c>
      <c r="C21" s="103">
        <v>1.63</v>
      </c>
      <c r="D21" s="87">
        <f>D19*I21</f>
        <v>57257.08012591815</v>
      </c>
      <c r="E21" s="87">
        <f>E19*I21</f>
        <v>55897.31633788038</v>
      </c>
      <c r="F21" s="87">
        <f t="shared" si="0"/>
        <v>57257.08012591815</v>
      </c>
      <c r="G21" s="88">
        <f t="shared" si="1"/>
        <v>1359.7637880377733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145" t="s">
        <v>21</v>
      </c>
      <c r="C22" s="103">
        <f>2.12-0.49</f>
        <v>1.6300000000000001</v>
      </c>
      <c r="D22" s="87">
        <f>D19*I22</f>
        <v>57257.08012591815</v>
      </c>
      <c r="E22" s="87">
        <f>E19*I22</f>
        <v>55897.31633788038</v>
      </c>
      <c r="F22" s="87">
        <f t="shared" si="0"/>
        <v>57257.08012591815</v>
      </c>
      <c r="G22" s="88">
        <f t="shared" si="1"/>
        <v>1359.7637880377733</v>
      </c>
      <c r="H22" s="152">
        <f>C22</f>
        <v>1.6300000000000001</v>
      </c>
      <c r="I22" s="71">
        <f>H22/H19</f>
        <v>0.17103882476390347</v>
      </c>
    </row>
    <row r="23" spans="1:9" s="71" customFormat="1" ht="15">
      <c r="A23" s="85" t="s">
        <v>22</v>
      </c>
      <c r="B23" s="145" t="s">
        <v>23</v>
      </c>
      <c r="C23" s="103">
        <v>2.93</v>
      </c>
      <c r="D23" s="87">
        <f>D19*I23</f>
        <v>102922.23605456454</v>
      </c>
      <c r="E23" s="87">
        <f>E19*I23</f>
        <v>100477.99807974818</v>
      </c>
      <c r="F23" s="87">
        <f t="shared" si="0"/>
        <v>102922.23605456454</v>
      </c>
      <c r="G23" s="88">
        <f t="shared" si="1"/>
        <v>2444.237974816351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28</v>
      </c>
      <c r="C24" s="147">
        <v>0</v>
      </c>
      <c r="D24" s="81">
        <v>0</v>
      </c>
      <c r="E24" s="81">
        <v>0</v>
      </c>
      <c r="F24" s="81">
        <f t="shared" si="0"/>
        <v>0</v>
      </c>
      <c r="G24" s="81">
        <f t="shared" si="1"/>
        <v>0</v>
      </c>
    </row>
    <row r="25" spans="1:7" s="39" customFormat="1" ht="14.25">
      <c r="A25" s="41" t="s">
        <v>27</v>
      </c>
      <c r="B25" s="146" t="s">
        <v>170</v>
      </c>
      <c r="C25" s="147" t="s">
        <v>314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</row>
    <row r="26" spans="1:7" s="39" customFormat="1" ht="14.25">
      <c r="A26" s="41" t="s">
        <v>29</v>
      </c>
      <c r="B26" s="146" t="s">
        <v>119</v>
      </c>
      <c r="C26" s="147">
        <v>1.8</v>
      </c>
      <c r="D26" s="81">
        <v>60734.88</v>
      </c>
      <c r="E26" s="81">
        <v>61445.37</v>
      </c>
      <c r="F26" s="91">
        <f>F43</f>
        <v>146584.96370000002</v>
      </c>
      <c r="G26" s="81">
        <f t="shared" si="1"/>
        <v>-710.4900000000052</v>
      </c>
    </row>
    <row r="27" spans="1:7" s="39" customFormat="1" ht="14.25">
      <c r="A27" s="41" t="s">
        <v>224</v>
      </c>
      <c r="B27" s="140" t="s">
        <v>34</v>
      </c>
      <c r="C27" s="141">
        <v>0</v>
      </c>
      <c r="D27" s="81">
        <v>0</v>
      </c>
      <c r="E27" s="81">
        <v>316.96</v>
      </c>
      <c r="F27" s="91">
        <f aca="true" t="shared" si="2" ref="F27:F32">D27</f>
        <v>0</v>
      </c>
      <c r="G27" s="81">
        <f t="shared" si="1"/>
        <v>-316.96</v>
      </c>
    </row>
    <row r="28" spans="1:7" s="39" customFormat="1" ht="14.25">
      <c r="A28" s="41" t="s">
        <v>225</v>
      </c>
      <c r="B28" s="140" t="s">
        <v>36</v>
      </c>
      <c r="C28" s="141"/>
      <c r="D28" s="81">
        <f>SUM(D29:D32)</f>
        <v>1158711.32</v>
      </c>
      <c r="E28" s="81">
        <f>SUM(E29:E32)</f>
        <v>1189735.7799999998</v>
      </c>
      <c r="F28" s="81">
        <f>SUM(F29:F32)</f>
        <v>1158711.32</v>
      </c>
      <c r="G28" s="81">
        <f>SUM(G29:G32)</f>
        <v>-31024.459999999905</v>
      </c>
    </row>
    <row r="29" spans="1:7" s="39" customFormat="1" ht="15">
      <c r="A29" s="34" t="s">
        <v>226</v>
      </c>
      <c r="B29" s="34" t="s">
        <v>174</v>
      </c>
      <c r="C29" s="103" t="s">
        <v>300</v>
      </c>
      <c r="D29" s="88">
        <v>28510.8</v>
      </c>
      <c r="E29" s="88">
        <v>28838.3</v>
      </c>
      <c r="F29" s="187">
        <f t="shared" si="2"/>
        <v>28510.8</v>
      </c>
      <c r="G29" s="88">
        <f>D29-E29</f>
        <v>-327.5</v>
      </c>
    </row>
    <row r="30" spans="1:7" ht="15">
      <c r="A30" s="34" t="s">
        <v>227</v>
      </c>
      <c r="B30" s="34" t="s">
        <v>142</v>
      </c>
      <c r="C30" s="103" t="s">
        <v>315</v>
      </c>
      <c r="D30" s="88">
        <v>414964.01</v>
      </c>
      <c r="E30" s="88">
        <v>433010.29</v>
      </c>
      <c r="F30" s="187">
        <f t="shared" si="2"/>
        <v>414964.01</v>
      </c>
      <c r="G30" s="88">
        <f>D30-E30</f>
        <v>-18046.27999999997</v>
      </c>
    </row>
    <row r="31" spans="1:7" ht="15">
      <c r="A31" s="34" t="s">
        <v>228</v>
      </c>
      <c r="B31" s="34" t="s">
        <v>40</v>
      </c>
      <c r="C31" s="149">
        <v>0</v>
      </c>
      <c r="D31" s="88">
        <v>0</v>
      </c>
      <c r="E31" s="88">
        <v>0</v>
      </c>
      <c r="F31" s="187">
        <f t="shared" si="2"/>
        <v>0</v>
      </c>
      <c r="G31" s="88">
        <f>D31-E31</f>
        <v>0</v>
      </c>
    </row>
    <row r="32" spans="1:7" ht="15">
      <c r="A32" s="34" t="s">
        <v>229</v>
      </c>
      <c r="B32" s="34" t="s">
        <v>43</v>
      </c>
      <c r="C32" s="103" t="s">
        <v>301</v>
      </c>
      <c r="D32" s="88">
        <v>715236.51</v>
      </c>
      <c r="E32" s="88">
        <v>727887.19</v>
      </c>
      <c r="F32" s="187">
        <f t="shared" si="2"/>
        <v>715236.51</v>
      </c>
      <c r="G32" s="88">
        <f>D32-E32</f>
        <v>-12650.679999999935</v>
      </c>
    </row>
    <row r="33" spans="1:10" s="106" customFormat="1" ht="6" customHeight="1" thickBot="1">
      <c r="A33" s="108"/>
      <c r="B33" s="108"/>
      <c r="C33" s="108"/>
      <c r="D33" s="105"/>
      <c r="E33" s="105"/>
      <c r="F33" s="105"/>
      <c r="G33" s="105"/>
      <c r="H33" s="105"/>
      <c r="I33" s="105"/>
      <c r="J33" s="105"/>
    </row>
    <row r="34" spans="1:9" s="71" customFormat="1" ht="15.75" thickBot="1">
      <c r="A34" s="319" t="s">
        <v>420</v>
      </c>
      <c r="B34" s="320"/>
      <c r="C34" s="320"/>
      <c r="D34" s="69">
        <f>D13+D19+D25+D27+D28+D26+D24-E24-E26-E19-E25-E27-E28</f>
        <v>100876.05000000005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G15+E27-F27</f>
        <v>21544.37</v>
      </c>
      <c r="H36" s="66"/>
      <c r="I36" s="66"/>
    </row>
    <row r="37" spans="1:13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G16+E26-F26</f>
        <v>-103516.00240000001</v>
      </c>
      <c r="H37" s="66"/>
      <c r="I37" s="66"/>
      <c r="M37" s="152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2:5" ht="9.75" customHeight="1">
      <c r="B39" s="162"/>
      <c r="C39" s="162"/>
      <c r="D39" s="162"/>
      <c r="E39" s="162"/>
    </row>
    <row r="40" spans="1:9" ht="26.25" customHeight="1">
      <c r="A40" s="321" t="s">
        <v>44</v>
      </c>
      <c r="B40" s="321"/>
      <c r="C40" s="321"/>
      <c r="D40" s="321"/>
      <c r="E40" s="321"/>
      <c r="F40" s="321"/>
      <c r="G40" s="321"/>
      <c r="H40" s="321"/>
      <c r="I40" s="321"/>
    </row>
    <row r="41" ht="7.5" customHeight="1"/>
    <row r="42" spans="1:7" s="179" customFormat="1" ht="28.5" customHeight="1">
      <c r="A42" s="109" t="s">
        <v>11</v>
      </c>
      <c r="B42" s="188" t="s">
        <v>45</v>
      </c>
      <c r="C42" s="189"/>
      <c r="D42" s="109" t="s">
        <v>172</v>
      </c>
      <c r="E42" s="109" t="s">
        <v>171</v>
      </c>
      <c r="F42" s="340" t="s">
        <v>46</v>
      </c>
      <c r="G42" s="351"/>
    </row>
    <row r="43" spans="1:7" s="119" customFormat="1" ht="13.5" customHeight="1">
      <c r="A43" s="113" t="s">
        <v>47</v>
      </c>
      <c r="B43" s="342" t="s">
        <v>114</v>
      </c>
      <c r="C43" s="345"/>
      <c r="D43" s="113"/>
      <c r="E43" s="113"/>
      <c r="F43" s="356">
        <f>SUM(F44:G51)</f>
        <v>146584.96370000002</v>
      </c>
      <c r="G43" s="351"/>
    </row>
    <row r="44" spans="1:7" ht="15">
      <c r="A44" s="34" t="s">
        <v>16</v>
      </c>
      <c r="B44" s="155" t="s">
        <v>374</v>
      </c>
      <c r="C44" s="156"/>
      <c r="D44" s="123" t="s">
        <v>265</v>
      </c>
      <c r="E44" s="123">
        <v>0.07</v>
      </c>
      <c r="F44" s="355">
        <v>5668.99</v>
      </c>
      <c r="G44" s="355"/>
    </row>
    <row r="45" spans="1:7" ht="15">
      <c r="A45" s="34" t="s">
        <v>18</v>
      </c>
      <c r="B45" s="155" t="s">
        <v>357</v>
      </c>
      <c r="C45" s="156"/>
      <c r="D45" s="123" t="s">
        <v>176</v>
      </c>
      <c r="E45" s="123">
        <v>1</v>
      </c>
      <c r="F45" s="355">
        <v>35217.53</v>
      </c>
      <c r="G45" s="355"/>
    </row>
    <row r="46" spans="1:7" ht="15">
      <c r="A46" s="34" t="s">
        <v>20</v>
      </c>
      <c r="B46" s="155" t="s">
        <v>357</v>
      </c>
      <c r="C46" s="156"/>
      <c r="D46" s="123" t="s">
        <v>176</v>
      </c>
      <c r="E46" s="123">
        <v>4.69</v>
      </c>
      <c r="F46" s="355">
        <v>20830.99</v>
      </c>
      <c r="G46" s="355"/>
    </row>
    <row r="47" spans="1:7" ht="15">
      <c r="A47" s="34" t="s">
        <v>22</v>
      </c>
      <c r="B47" s="155" t="s">
        <v>628</v>
      </c>
      <c r="C47" s="156"/>
      <c r="D47" s="123" t="s">
        <v>352</v>
      </c>
      <c r="E47" s="126">
        <v>0.274</v>
      </c>
      <c r="F47" s="355">
        <v>8300</v>
      </c>
      <c r="G47" s="355"/>
    </row>
    <row r="48" spans="1:7" ht="15">
      <c r="A48" s="34" t="s">
        <v>24</v>
      </c>
      <c r="B48" s="155" t="s">
        <v>650</v>
      </c>
      <c r="C48" s="156"/>
      <c r="D48" s="123" t="s">
        <v>173</v>
      </c>
      <c r="E48" s="126">
        <v>1</v>
      </c>
      <c r="F48" s="355">
        <v>35000</v>
      </c>
      <c r="G48" s="355"/>
    </row>
    <row r="49" spans="1:7" ht="26.25" customHeight="1">
      <c r="A49" s="34" t="s">
        <v>106</v>
      </c>
      <c r="B49" s="325" t="s">
        <v>663</v>
      </c>
      <c r="C49" s="350"/>
      <c r="D49" s="123"/>
      <c r="E49" s="159" t="s">
        <v>286</v>
      </c>
      <c r="F49" s="344">
        <v>8400</v>
      </c>
      <c r="G49" s="344"/>
    </row>
    <row r="50" spans="1:7" ht="26.25" customHeight="1">
      <c r="A50" s="34" t="s">
        <v>107</v>
      </c>
      <c r="B50" s="325" t="s">
        <v>704</v>
      </c>
      <c r="C50" s="350"/>
      <c r="D50" s="123"/>
      <c r="E50" s="159"/>
      <c r="F50" s="344">
        <v>32553</v>
      </c>
      <c r="G50" s="344"/>
    </row>
    <row r="51" spans="1:7" ht="15">
      <c r="A51" s="34" t="s">
        <v>120</v>
      </c>
      <c r="B51" s="155" t="s">
        <v>207</v>
      </c>
      <c r="C51" s="156"/>
      <c r="D51" s="190"/>
      <c r="E51" s="190"/>
      <c r="F51" s="355">
        <f>E26*1%</f>
        <v>614.4537</v>
      </c>
      <c r="G51" s="355"/>
    </row>
    <row r="52" spans="1:7" ht="12.75" customHeight="1">
      <c r="A52" s="176"/>
      <c r="B52" s="191"/>
      <c r="C52" s="191"/>
      <c r="D52" s="191"/>
      <c r="E52" s="191"/>
      <c r="F52" s="192"/>
      <c r="G52" s="192"/>
    </row>
    <row r="53" spans="1:7" ht="12.75" customHeight="1">
      <c r="A53" s="176"/>
      <c r="B53" s="191"/>
      <c r="C53" s="191"/>
      <c r="D53" s="191"/>
      <c r="E53" s="191"/>
      <c r="F53" s="192"/>
      <c r="G53" s="192"/>
    </row>
    <row r="54" s="71" customFormat="1" ht="6.75" customHeight="1"/>
    <row r="55" spans="1:6" s="71" customFormat="1" ht="15">
      <c r="A55" s="71" t="s">
        <v>55</v>
      </c>
      <c r="C55" s="71" t="s">
        <v>49</v>
      </c>
      <c r="F55" s="71" t="s">
        <v>93</v>
      </c>
    </row>
    <row r="56" s="71" customFormat="1" ht="9" customHeight="1"/>
    <row r="57" s="71" customFormat="1" ht="13.5" customHeight="1">
      <c r="F57" s="132" t="s">
        <v>296</v>
      </c>
    </row>
    <row r="58" s="71" customFormat="1" ht="13.5" customHeight="1">
      <c r="A58" s="71" t="s">
        <v>50</v>
      </c>
    </row>
    <row r="59" spans="3:7" s="71" customFormat="1" ht="15">
      <c r="C59" s="134" t="s">
        <v>51</v>
      </c>
      <c r="E59" s="134"/>
      <c r="F59" s="134"/>
      <c r="G59" s="134"/>
    </row>
    <row r="60" s="71" customFormat="1" ht="15"/>
    <row r="61" s="71" customFormat="1" ht="15"/>
  </sheetData>
  <sheetProtection/>
  <mergeCells count="23">
    <mergeCell ref="B49:C49"/>
    <mergeCell ref="F44:G44"/>
    <mergeCell ref="A13:C13"/>
    <mergeCell ref="A40:I40"/>
    <mergeCell ref="A11:I11"/>
    <mergeCell ref="A34:C34"/>
    <mergeCell ref="F42:G42"/>
    <mergeCell ref="B50:C50"/>
    <mergeCell ref="F50:G50"/>
    <mergeCell ref="F51:G51"/>
    <mergeCell ref="F43:G43"/>
    <mergeCell ref="B43:C43"/>
    <mergeCell ref="F45:G45"/>
    <mergeCell ref="F46:G46"/>
    <mergeCell ref="F48:G48"/>
    <mergeCell ref="F47:G47"/>
    <mergeCell ref="F49:G49"/>
    <mergeCell ref="A1:I1"/>
    <mergeCell ref="A2:I2"/>
    <mergeCell ref="A5:I5"/>
    <mergeCell ref="A10:I10"/>
    <mergeCell ref="A3:K3"/>
    <mergeCell ref="A12:I12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7030A0"/>
  </sheetPr>
  <dimension ref="A1:M56"/>
  <sheetViews>
    <sheetView zoomScalePageLayoutView="0" workbookViewId="0" topLeftCell="A22">
      <selection activeCell="G37" sqref="G37"/>
    </sheetView>
  </sheetViews>
  <sheetFormatPr defaultColWidth="9.140625" defaultRowHeight="15" outlineLevelCol="1"/>
  <cols>
    <col min="1" max="1" width="5.00390625" style="35" customWidth="1"/>
    <col min="2" max="2" width="41.7109375" style="35" customWidth="1"/>
    <col min="3" max="3" width="12.851562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15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6" s="71" customFormat="1" ht="15">
      <c r="A7" s="71" t="s">
        <v>2</v>
      </c>
      <c r="F7" s="132" t="s">
        <v>134</v>
      </c>
    </row>
    <row r="8" spans="1:6" s="71" customFormat="1" ht="15">
      <c r="A8" s="71" t="s">
        <v>3</v>
      </c>
      <c r="F8" s="132" t="s">
        <v>401</v>
      </c>
    </row>
    <row r="9" s="71" customFormat="1" ht="15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5.75" thickBot="1">
      <c r="A13" s="319" t="s">
        <v>419</v>
      </c>
      <c r="B13" s="320"/>
      <c r="C13" s="320"/>
      <c r="D13" s="51">
        <v>472452.71</v>
      </c>
      <c r="E13" s="70"/>
      <c r="F13" s="70"/>
      <c r="G13" s="70"/>
      <c r="H13" s="66"/>
      <c r="I13" s="66"/>
    </row>
    <row r="14" spans="1:9" s="71" customFormat="1" ht="10.5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69">
        <f>'[1]Пролетарская 135'!$G$36</f>
        <v>-105022.04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69">
        <f>'[1]Пролетарская 135'!$G$37</f>
        <v>-94339.7569</v>
      </c>
      <c r="H16" s="66"/>
      <c r="I16" s="66"/>
    </row>
    <row r="17" s="71" customFormat="1" ht="8.25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9" s="71" customFormat="1" ht="29.25">
      <c r="A19" s="79" t="s">
        <v>14</v>
      </c>
      <c r="B19" s="41" t="s">
        <v>15</v>
      </c>
      <c r="C19" s="230">
        <f>C20+C21+C22+C23</f>
        <v>9.969999999999999</v>
      </c>
      <c r="D19" s="80">
        <v>489095.62</v>
      </c>
      <c r="E19" s="80">
        <v>463052.29</v>
      </c>
      <c r="F19" s="80">
        <f aca="true" t="shared" si="0" ref="F19:F26">D19</f>
        <v>489095.62</v>
      </c>
      <c r="G19" s="81">
        <f>E19-D19</f>
        <v>-26043.330000000016</v>
      </c>
      <c r="H19" s="82">
        <f>C19</f>
        <v>9.969999999999999</v>
      </c>
      <c r="I19" s="175"/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163849.48553660983</v>
      </c>
      <c r="E20" s="87">
        <f>E19*I20</f>
        <v>155124.8393781344</v>
      </c>
      <c r="F20" s="87">
        <f t="shared" si="0"/>
        <v>163849.48553660983</v>
      </c>
      <c r="G20" s="88">
        <f aca="true" t="shared" si="1" ref="G20:G28">E20-D20</f>
        <v>-8724.646158475429</v>
      </c>
      <c r="H20" s="82">
        <f>C20</f>
        <v>3.34</v>
      </c>
      <c r="I20" s="71">
        <f>H20/H19</f>
        <v>0.3350050150451354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79962.47348044133</v>
      </c>
      <c r="E21" s="87">
        <f>E19*I21</f>
        <v>75704.63718154465</v>
      </c>
      <c r="F21" s="87">
        <f t="shared" si="0"/>
        <v>79962.47348044133</v>
      </c>
      <c r="G21" s="88">
        <f t="shared" si="1"/>
        <v>-4257.836298896684</v>
      </c>
      <c r="H21" s="82">
        <f>C21</f>
        <v>1.63</v>
      </c>
      <c r="I21" s="71">
        <f>H21/H19</f>
        <v>0.16349047141424275</v>
      </c>
    </row>
    <row r="22" spans="1:9" s="71" customFormat="1" ht="15">
      <c r="A22" s="85" t="s">
        <v>20</v>
      </c>
      <c r="B22" s="34" t="s">
        <v>21</v>
      </c>
      <c r="C22" s="103">
        <v>2.07</v>
      </c>
      <c r="D22" s="87">
        <f>D19*I22</f>
        <v>101547.43564694082</v>
      </c>
      <c r="E22" s="87">
        <f>E19*I22</f>
        <v>96140.24476429287</v>
      </c>
      <c r="F22" s="87">
        <f t="shared" si="0"/>
        <v>101547.43564694082</v>
      </c>
      <c r="G22" s="88">
        <f t="shared" si="1"/>
        <v>-5407.1908826479485</v>
      </c>
      <c r="H22" s="82">
        <f>C22</f>
        <v>2.07</v>
      </c>
      <c r="I22" s="71">
        <f>H22/H19</f>
        <v>0.20762286860581747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143736.22533600804</v>
      </c>
      <c r="E23" s="87">
        <f>E19*I23</f>
        <v>136082.5686760281</v>
      </c>
      <c r="F23" s="87">
        <f t="shared" si="0"/>
        <v>143736.22533600804</v>
      </c>
      <c r="G23" s="88">
        <f t="shared" si="1"/>
        <v>-7653.656659979926</v>
      </c>
      <c r="H23" s="82">
        <f>C23</f>
        <v>2.93</v>
      </c>
      <c r="I23" s="71">
        <f>H23/H19</f>
        <v>0.29388164493480445</v>
      </c>
    </row>
    <row r="24" spans="1:9" ht="15">
      <c r="A24" s="41" t="s">
        <v>25</v>
      </c>
      <c r="B24" s="41" t="s">
        <v>26</v>
      </c>
      <c r="C24" s="147">
        <v>3.72</v>
      </c>
      <c r="D24" s="81">
        <v>173681.55</v>
      </c>
      <c r="E24" s="81">
        <v>171911.53</v>
      </c>
      <c r="F24" s="80">
        <f t="shared" si="0"/>
        <v>173681.55</v>
      </c>
      <c r="G24" s="81">
        <f t="shared" si="1"/>
        <v>-1770.0199999999895</v>
      </c>
      <c r="H24" s="39"/>
      <c r="I24" s="39"/>
    </row>
    <row r="25" spans="1:9" ht="15">
      <c r="A25" s="41" t="s">
        <v>27</v>
      </c>
      <c r="B25" s="41" t="s">
        <v>28</v>
      </c>
      <c r="C25" s="147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  <c r="H25" s="39"/>
      <c r="I25" s="39"/>
    </row>
    <row r="26" spans="1:9" ht="15">
      <c r="A26" s="41" t="s">
        <v>29</v>
      </c>
      <c r="B26" s="41" t="s">
        <v>182</v>
      </c>
      <c r="C26" s="147">
        <v>1.08</v>
      </c>
      <c r="D26" s="81">
        <v>50535</v>
      </c>
      <c r="E26" s="81">
        <v>50026.42</v>
      </c>
      <c r="F26" s="81">
        <f t="shared" si="0"/>
        <v>50535</v>
      </c>
      <c r="G26" s="81">
        <f t="shared" si="1"/>
        <v>-508.58000000000175</v>
      </c>
      <c r="H26" s="39"/>
      <c r="I26" s="39"/>
    </row>
    <row r="27" spans="1:13" ht="15">
      <c r="A27" s="41" t="s">
        <v>31</v>
      </c>
      <c r="B27" s="41" t="s">
        <v>119</v>
      </c>
      <c r="C27" s="147">
        <v>1.99</v>
      </c>
      <c r="D27" s="81">
        <v>93464.71</v>
      </c>
      <c r="E27" s="81">
        <v>92529.64</v>
      </c>
      <c r="F27" s="91">
        <f>F42</f>
        <v>117126.41640000002</v>
      </c>
      <c r="G27" s="81">
        <f t="shared" si="1"/>
        <v>-935.070000000007</v>
      </c>
      <c r="H27" s="39"/>
      <c r="I27" s="39"/>
      <c r="M27" s="167"/>
    </row>
    <row r="28" spans="1:9" ht="15">
      <c r="A28" s="227">
        <v>6</v>
      </c>
      <c r="B28" s="90" t="s">
        <v>170</v>
      </c>
      <c r="C28" s="148" t="s">
        <v>314</v>
      </c>
      <c r="D28" s="81">
        <v>0</v>
      </c>
      <c r="E28" s="81">
        <v>0</v>
      </c>
      <c r="F28" s="91">
        <f>D28</f>
        <v>0</v>
      </c>
      <c r="G28" s="81">
        <f t="shared" si="1"/>
        <v>0</v>
      </c>
      <c r="H28" s="39"/>
      <c r="I28" s="39"/>
    </row>
    <row r="29" spans="1:9" ht="15">
      <c r="A29" s="227">
        <f>A28+1</f>
        <v>7</v>
      </c>
      <c r="B29" s="41" t="s">
        <v>36</v>
      </c>
      <c r="C29" s="148"/>
      <c r="D29" s="81">
        <f>SUM(D30:D33)</f>
        <v>1838719.04</v>
      </c>
      <c r="E29" s="81">
        <f>SUM(E30:E33)</f>
        <v>1800854.74</v>
      </c>
      <c r="F29" s="81">
        <f>SUM(F30:F33)</f>
        <v>1838719.04</v>
      </c>
      <c r="G29" s="81">
        <f>SUM(G30:G33)</f>
        <v>-37864.299999999974</v>
      </c>
      <c r="H29" s="39"/>
      <c r="I29" s="39"/>
    </row>
    <row r="30" spans="1:7" ht="15">
      <c r="A30" s="228" t="s">
        <v>37</v>
      </c>
      <c r="B30" s="34" t="s">
        <v>96</v>
      </c>
      <c r="C30" s="103" t="s">
        <v>300</v>
      </c>
      <c r="D30" s="88">
        <v>77522.7</v>
      </c>
      <c r="E30" s="88">
        <v>76746.56</v>
      </c>
      <c r="F30" s="88">
        <f>D30</f>
        <v>77522.7</v>
      </c>
      <c r="G30" s="88">
        <f>E30-D30</f>
        <v>-776.1399999999994</v>
      </c>
    </row>
    <row r="31" spans="1:7" ht="15">
      <c r="A31" s="228" t="s">
        <v>39</v>
      </c>
      <c r="B31" s="34" t="s">
        <v>142</v>
      </c>
      <c r="C31" s="103" t="s">
        <v>315</v>
      </c>
      <c r="D31" s="88">
        <v>317194.87</v>
      </c>
      <c r="E31" s="88">
        <v>307946.75</v>
      </c>
      <c r="F31" s="88">
        <f>D31</f>
        <v>317194.87</v>
      </c>
      <c r="G31" s="88">
        <f>E31-D31</f>
        <v>-9248.119999999995</v>
      </c>
    </row>
    <row r="32" spans="1:7" ht="15">
      <c r="A32" s="228" t="s">
        <v>42</v>
      </c>
      <c r="B32" s="34" t="s">
        <v>143</v>
      </c>
      <c r="C32" s="149" t="s">
        <v>382</v>
      </c>
      <c r="D32" s="88">
        <v>489253.73</v>
      </c>
      <c r="E32" s="88">
        <v>470593.06</v>
      </c>
      <c r="F32" s="88">
        <f>D32</f>
        <v>489253.73</v>
      </c>
      <c r="G32" s="88">
        <f>E32-D32</f>
        <v>-18660.669999999984</v>
      </c>
    </row>
    <row r="33" spans="1:7" ht="15.75" thickBot="1">
      <c r="A33" s="228" t="s">
        <v>41</v>
      </c>
      <c r="B33" s="34" t="s">
        <v>43</v>
      </c>
      <c r="C33" s="103" t="s">
        <v>383</v>
      </c>
      <c r="D33" s="88">
        <v>954747.74</v>
      </c>
      <c r="E33" s="88">
        <v>945568.37</v>
      </c>
      <c r="F33" s="88">
        <f>D33</f>
        <v>954747.74</v>
      </c>
      <c r="G33" s="88">
        <f>E33-D33</f>
        <v>-9179.369999999995</v>
      </c>
    </row>
    <row r="34" spans="1:10" s="106" customFormat="1" ht="14.25" thickBot="1">
      <c r="A34" s="319" t="s">
        <v>420</v>
      </c>
      <c r="B34" s="320"/>
      <c r="C34" s="320"/>
      <c r="D34" s="69">
        <f>D13+D19+D24+D25+D26+D27+D28+D29-E19-E24-E25-E26-E27-E28-E29</f>
        <v>539574.01</v>
      </c>
      <c r="E34" s="70"/>
      <c r="F34" s="70"/>
      <c r="G34" s="70"/>
      <c r="H34" s="66"/>
      <c r="I34" s="66"/>
      <c r="J34" s="105"/>
    </row>
    <row r="35" spans="1:9" s="71" customFormat="1" ht="10.5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G15</f>
        <v>-105022.04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G16+E27-F27</f>
        <v>-118936.53330000001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s="71" customFormat="1" ht="30" customHeight="1">
      <c r="A39" s="372" t="s">
        <v>44</v>
      </c>
      <c r="B39" s="372"/>
      <c r="C39" s="372"/>
      <c r="D39" s="372"/>
      <c r="E39" s="372"/>
      <c r="F39" s="372"/>
      <c r="G39" s="372"/>
      <c r="H39" s="372"/>
      <c r="I39" s="372"/>
    </row>
    <row r="40" ht="10.5" customHeight="1"/>
    <row r="41" spans="1:9" ht="28.5">
      <c r="A41" s="109" t="s">
        <v>11</v>
      </c>
      <c r="B41" s="340" t="s">
        <v>45</v>
      </c>
      <c r="C41" s="352"/>
      <c r="D41" s="109" t="s">
        <v>172</v>
      </c>
      <c r="E41" s="109" t="s">
        <v>171</v>
      </c>
      <c r="F41" s="340" t="s">
        <v>46</v>
      </c>
      <c r="G41" s="352"/>
      <c r="H41" s="179"/>
      <c r="I41" s="179"/>
    </row>
    <row r="42" spans="1:9" s="179" customFormat="1" ht="15">
      <c r="A42" s="113" t="s">
        <v>47</v>
      </c>
      <c r="B42" s="342" t="s">
        <v>114</v>
      </c>
      <c r="C42" s="345"/>
      <c r="D42" s="115"/>
      <c r="E42" s="115"/>
      <c r="F42" s="356">
        <f>SUM(F43:L50)</f>
        <v>117126.41640000002</v>
      </c>
      <c r="G42" s="351"/>
      <c r="H42" s="119"/>
      <c r="I42" s="119"/>
    </row>
    <row r="43" spans="1:9" s="119" customFormat="1" ht="15" customHeight="1">
      <c r="A43" s="34" t="s">
        <v>16</v>
      </c>
      <c r="B43" s="325" t="s">
        <v>169</v>
      </c>
      <c r="C43" s="327"/>
      <c r="D43" s="123" t="s">
        <v>177</v>
      </c>
      <c r="E43" s="123">
        <v>400</v>
      </c>
      <c r="F43" s="366">
        <v>4104</v>
      </c>
      <c r="G43" s="367"/>
      <c r="H43" s="35"/>
      <c r="I43" s="35"/>
    </row>
    <row r="44" spans="1:7" ht="15" customHeight="1">
      <c r="A44" s="34" t="s">
        <v>18</v>
      </c>
      <c r="B44" s="325" t="s">
        <v>402</v>
      </c>
      <c r="C44" s="327"/>
      <c r="D44" s="123" t="s">
        <v>177</v>
      </c>
      <c r="E44" s="123">
        <v>1200</v>
      </c>
      <c r="F44" s="355">
        <v>13132.8</v>
      </c>
      <c r="G44" s="355"/>
    </row>
    <row r="45" spans="1:7" ht="15" customHeight="1">
      <c r="A45" s="34" t="s">
        <v>20</v>
      </c>
      <c r="B45" s="325" t="s">
        <v>357</v>
      </c>
      <c r="C45" s="327"/>
      <c r="D45" s="123" t="s">
        <v>176</v>
      </c>
      <c r="E45" s="123">
        <v>15</v>
      </c>
      <c r="F45" s="355">
        <v>66038.32</v>
      </c>
      <c r="G45" s="355"/>
    </row>
    <row r="46" spans="1:7" ht="15" customHeight="1">
      <c r="A46" s="34" t="s">
        <v>22</v>
      </c>
      <c r="B46" s="325" t="s">
        <v>373</v>
      </c>
      <c r="C46" s="327"/>
      <c r="D46" s="123" t="s">
        <v>176</v>
      </c>
      <c r="E46" s="126">
        <v>2.98</v>
      </c>
      <c r="F46" s="355">
        <v>13235.95</v>
      </c>
      <c r="G46" s="355"/>
    </row>
    <row r="47" spans="1:7" ht="15" customHeight="1">
      <c r="A47" s="34" t="s">
        <v>24</v>
      </c>
      <c r="B47" s="325" t="s">
        <v>403</v>
      </c>
      <c r="C47" s="327"/>
      <c r="D47" s="123" t="s">
        <v>404</v>
      </c>
      <c r="E47" s="123">
        <v>4</v>
      </c>
      <c r="F47" s="355">
        <v>8000</v>
      </c>
      <c r="G47" s="355"/>
    </row>
    <row r="48" spans="1:7" ht="15" customHeight="1">
      <c r="A48" s="34" t="s">
        <v>106</v>
      </c>
      <c r="B48" s="325" t="s">
        <v>328</v>
      </c>
      <c r="C48" s="327"/>
      <c r="D48" s="123" t="s">
        <v>352</v>
      </c>
      <c r="E48" s="126">
        <v>0.029</v>
      </c>
      <c r="F48" s="355">
        <v>1610.05</v>
      </c>
      <c r="G48" s="355"/>
    </row>
    <row r="49" spans="1:7" ht="32.25" customHeight="1">
      <c r="A49" s="34" t="s">
        <v>107</v>
      </c>
      <c r="B49" s="325" t="s">
        <v>663</v>
      </c>
      <c r="C49" s="350"/>
      <c r="D49" s="123"/>
      <c r="E49" s="159" t="s">
        <v>286</v>
      </c>
      <c r="F49" s="344">
        <v>10080</v>
      </c>
      <c r="G49" s="344"/>
    </row>
    <row r="50" spans="1:7" s="71" customFormat="1" ht="15">
      <c r="A50" s="34" t="s">
        <v>120</v>
      </c>
      <c r="B50" s="155" t="s">
        <v>207</v>
      </c>
      <c r="C50" s="156"/>
      <c r="D50" s="123"/>
      <c r="E50" s="123"/>
      <c r="F50" s="355">
        <f>E27*1%</f>
        <v>925.2964000000001</v>
      </c>
      <c r="G50" s="355"/>
    </row>
    <row r="51" spans="8:9" s="71" customFormat="1" ht="15">
      <c r="H51" s="35"/>
      <c r="I51" s="35"/>
    </row>
    <row r="52" spans="1:9" s="71" customFormat="1" ht="15">
      <c r="A52" s="71" t="s">
        <v>55</v>
      </c>
      <c r="C52" s="71" t="s">
        <v>49</v>
      </c>
      <c r="F52" s="71" t="s">
        <v>93</v>
      </c>
      <c r="H52" s="35"/>
      <c r="I52" s="35"/>
    </row>
    <row r="53" spans="6:9" s="71" customFormat="1" ht="15">
      <c r="F53" s="132" t="s">
        <v>296</v>
      </c>
      <c r="H53" s="35"/>
      <c r="I53" s="35"/>
    </row>
    <row r="54" spans="1:7" ht="15">
      <c r="A54" s="71" t="s">
        <v>50</v>
      </c>
      <c r="B54" s="71"/>
      <c r="C54" s="71"/>
      <c r="D54" s="71"/>
      <c r="E54" s="71"/>
      <c r="F54" s="71"/>
      <c r="G54" s="71"/>
    </row>
    <row r="55" spans="1:7" ht="15">
      <c r="A55" s="71"/>
      <c r="B55" s="71"/>
      <c r="C55" s="134" t="s">
        <v>51</v>
      </c>
      <c r="D55" s="71"/>
      <c r="E55" s="134"/>
      <c r="F55" s="134"/>
      <c r="G55" s="134"/>
    </row>
    <row r="56" spans="1:9" ht="15">
      <c r="A56" s="71"/>
      <c r="B56" s="71"/>
      <c r="C56" s="71"/>
      <c r="D56" s="71"/>
      <c r="E56" s="71"/>
      <c r="F56" s="71"/>
      <c r="G56" s="71"/>
      <c r="H56" s="71"/>
      <c r="I56" s="71"/>
    </row>
  </sheetData>
  <sheetProtection/>
  <mergeCells count="29">
    <mergeCell ref="B41:C41"/>
    <mergeCell ref="F41:G41"/>
    <mergeCell ref="B49:C49"/>
    <mergeCell ref="F49:G49"/>
    <mergeCell ref="F45:G45"/>
    <mergeCell ref="B48:C48"/>
    <mergeCell ref="F48:G48"/>
    <mergeCell ref="B46:C46"/>
    <mergeCell ref="F46:G46"/>
    <mergeCell ref="A34:C34"/>
    <mergeCell ref="A11:I11"/>
    <mergeCell ref="B47:C47"/>
    <mergeCell ref="F47:G47"/>
    <mergeCell ref="A39:I39"/>
    <mergeCell ref="F50:G50"/>
    <mergeCell ref="F44:G44"/>
    <mergeCell ref="F43:G43"/>
    <mergeCell ref="F42:G42"/>
    <mergeCell ref="B45:C45"/>
    <mergeCell ref="A12:I12"/>
    <mergeCell ref="A13:C13"/>
    <mergeCell ref="B43:C43"/>
    <mergeCell ref="B44:C44"/>
    <mergeCell ref="A1:I1"/>
    <mergeCell ref="A2:I2"/>
    <mergeCell ref="A3:K3"/>
    <mergeCell ref="A5:I5"/>
    <mergeCell ref="A10:I10"/>
    <mergeCell ref="B42:C42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7030A0"/>
  </sheetPr>
  <dimension ref="A1:R67"/>
  <sheetViews>
    <sheetView tabSelected="1" zoomScalePageLayoutView="0" workbookViewId="0" topLeftCell="A31">
      <selection activeCell="G39" sqref="G39"/>
    </sheetView>
  </sheetViews>
  <sheetFormatPr defaultColWidth="9.140625" defaultRowHeight="15" outlineLevelCol="1"/>
  <cols>
    <col min="1" max="1" width="5.00390625" style="35" customWidth="1"/>
    <col min="2" max="2" width="46.140625" style="35" customWidth="1"/>
    <col min="3" max="3" width="13.421875" style="35" customWidth="1"/>
    <col min="4" max="4" width="15.140625" style="35" customWidth="1"/>
    <col min="5" max="5" width="14.57421875" style="35" customWidth="1"/>
    <col min="6" max="6" width="15.00390625" style="35" customWidth="1"/>
    <col min="7" max="8" width="13.421875" style="35" customWidth="1"/>
    <col min="9" max="9" width="10.8515625" style="35" hidden="1" customWidth="1" outlineLevel="1"/>
    <col min="10" max="10" width="13.421875" style="35" hidden="1" customWidth="1" outlineLevel="1"/>
    <col min="11" max="11" width="14.28125" style="35" bestFit="1" customWidth="1" collapsed="1"/>
    <col min="12" max="12" width="12.00390625" style="35" customWidth="1"/>
    <col min="13" max="13" width="10.140625" style="35" bestFit="1" customWidth="1"/>
    <col min="14" max="14" width="11.421875" style="35" bestFit="1" customWidth="1"/>
    <col min="15" max="16" width="11.57421875" style="35" bestFit="1" customWidth="1"/>
    <col min="17" max="17" width="10.421875" style="35" bestFit="1" customWidth="1"/>
    <col min="18" max="18" width="11.421875" style="35" bestFit="1" customWidth="1"/>
    <col min="19" max="16384" width="9.140625" style="35" customWidth="1"/>
  </cols>
  <sheetData>
    <row r="1" spans="1:10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  <c r="J1" s="333"/>
    </row>
    <row r="2" spans="1:10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5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</row>
    <row r="4" spans="1:10" ht="15">
      <c r="A4" s="165"/>
      <c r="B4" s="165"/>
      <c r="C4" s="165"/>
      <c r="D4" s="165"/>
      <c r="E4" s="165"/>
      <c r="F4" s="165"/>
      <c r="G4" s="165"/>
      <c r="H4" s="165"/>
      <c r="I4" s="165"/>
      <c r="J4" s="165"/>
    </row>
    <row r="5" spans="1:10" ht="15">
      <c r="A5" s="334" t="s">
        <v>1</v>
      </c>
      <c r="B5" s="333"/>
      <c r="C5" s="333"/>
      <c r="D5" s="333"/>
      <c r="E5" s="333"/>
      <c r="F5" s="333"/>
      <c r="G5" s="333"/>
      <c r="H5" s="333"/>
      <c r="I5" s="333"/>
      <c r="J5" s="333"/>
    </row>
    <row r="7" spans="1:9" s="71" customFormat="1" ht="15">
      <c r="A7" s="71" t="s">
        <v>2</v>
      </c>
      <c r="F7" s="132" t="s">
        <v>137</v>
      </c>
      <c r="I7" s="71" t="s">
        <v>644</v>
      </c>
    </row>
    <row r="8" spans="1:10" s="71" customFormat="1" ht="15">
      <c r="A8" s="71" t="s">
        <v>3</v>
      </c>
      <c r="F8" s="132" t="s">
        <v>645</v>
      </c>
      <c r="I8" s="71">
        <v>110.9</v>
      </c>
      <c r="J8" s="213">
        <f>7358.7+C42</f>
        <v>8703.3</v>
      </c>
    </row>
    <row r="9" s="71" customFormat="1" ht="15"/>
    <row r="10" spans="1:10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  <c r="J11" s="318"/>
    </row>
    <row r="12" spans="1:10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  <c r="J12" s="318"/>
    </row>
    <row r="13" spans="1:10" s="71" customFormat="1" ht="15.75" thickBot="1">
      <c r="A13" s="319" t="s">
        <v>419</v>
      </c>
      <c r="B13" s="320"/>
      <c r="C13" s="320"/>
      <c r="D13" s="51">
        <v>575261.05</v>
      </c>
      <c r="E13" s="70"/>
      <c r="F13" s="70"/>
      <c r="G13" s="70"/>
      <c r="H13" s="70"/>
      <c r="I13" s="66"/>
      <c r="J13" s="66"/>
    </row>
    <row r="14" spans="1:10" s="71" customFormat="1" ht="10.5" customHeight="1" thickBot="1">
      <c r="A14" s="72"/>
      <c r="B14" s="72"/>
      <c r="C14" s="72"/>
      <c r="D14" s="40"/>
      <c r="E14" s="70"/>
      <c r="F14" s="70"/>
      <c r="G14" s="70"/>
      <c r="H14" s="70"/>
      <c r="I14" s="66"/>
      <c r="J14" s="66"/>
    </row>
    <row r="15" spans="1:10" s="71" customFormat="1" ht="15.75" thickBot="1">
      <c r="A15" s="67" t="s">
        <v>514</v>
      </c>
      <c r="B15" s="68"/>
      <c r="C15" s="68"/>
      <c r="D15" s="73"/>
      <c r="E15" s="74"/>
      <c r="F15" s="74"/>
      <c r="G15" s="69">
        <f>'[1]Молодежная 41'!$I$38</f>
        <v>366862.1543</v>
      </c>
      <c r="H15" s="233"/>
      <c r="I15" s="66"/>
      <c r="J15" s="66"/>
    </row>
    <row r="16" s="71" customFormat="1" ht="15"/>
    <row r="17" spans="1:8" s="78" customFormat="1" ht="38.25">
      <c r="A17" s="76" t="s">
        <v>11</v>
      </c>
      <c r="B17" s="76" t="s">
        <v>12</v>
      </c>
      <c r="C17" s="76" t="s">
        <v>94</v>
      </c>
      <c r="D17" s="76" t="s">
        <v>466</v>
      </c>
      <c r="E17" s="76" t="s">
        <v>284</v>
      </c>
      <c r="F17" s="77" t="s">
        <v>298</v>
      </c>
      <c r="G17" s="76" t="s">
        <v>299</v>
      </c>
      <c r="H17" s="112"/>
    </row>
    <row r="18" spans="1:9" s="175" customFormat="1" ht="28.5">
      <c r="A18" s="79" t="s">
        <v>14</v>
      </c>
      <c r="B18" s="41" t="s">
        <v>15</v>
      </c>
      <c r="C18" s="101">
        <f>SUM(C19:C22)</f>
        <v>9.82</v>
      </c>
      <c r="D18" s="80">
        <v>877973.63</v>
      </c>
      <c r="E18" s="80">
        <v>864757.31</v>
      </c>
      <c r="F18" s="80">
        <f>D18</f>
        <v>877973.63</v>
      </c>
      <c r="G18" s="81">
        <f>E18-D18</f>
        <v>-13216.319999999949</v>
      </c>
      <c r="H18" s="234"/>
      <c r="I18" s="82">
        <f>C18</f>
        <v>9.82</v>
      </c>
    </row>
    <row r="19" spans="1:10" s="71" customFormat="1" ht="15">
      <c r="A19" s="85" t="s">
        <v>16</v>
      </c>
      <c r="B19" s="34" t="s">
        <v>17</v>
      </c>
      <c r="C19" s="103">
        <v>3.34</v>
      </c>
      <c r="D19" s="87">
        <f>D18*J19</f>
        <v>298618.3222199592</v>
      </c>
      <c r="E19" s="87">
        <f>E18*J19</f>
        <v>294123.15839103865</v>
      </c>
      <c r="F19" s="87">
        <f aca="true" t="shared" si="0" ref="F19:F24">D19</f>
        <v>298618.3222199592</v>
      </c>
      <c r="G19" s="88">
        <f aca="true" t="shared" si="1" ref="G19:G27">E19-D19</f>
        <v>-4495.163828920573</v>
      </c>
      <c r="H19" s="178"/>
      <c r="I19" s="82">
        <f>C19</f>
        <v>3.34</v>
      </c>
      <c r="J19" s="71">
        <f>I19/I18</f>
        <v>0.340122199592668</v>
      </c>
    </row>
    <row r="20" spans="1:10" s="71" customFormat="1" ht="15">
      <c r="A20" s="85" t="s">
        <v>18</v>
      </c>
      <c r="B20" s="34" t="s">
        <v>19</v>
      </c>
      <c r="C20" s="103">
        <v>1.63</v>
      </c>
      <c r="D20" s="87">
        <f>D18*J20</f>
        <v>145732.89377800404</v>
      </c>
      <c r="E20" s="87">
        <f>E18*J20</f>
        <v>143539.1461608961</v>
      </c>
      <c r="F20" s="87">
        <f t="shared" si="0"/>
        <v>145732.89377800404</v>
      </c>
      <c r="G20" s="88">
        <f t="shared" si="1"/>
        <v>-2193.7476171079325</v>
      </c>
      <c r="H20" s="178"/>
      <c r="I20" s="82">
        <f>C20</f>
        <v>1.63</v>
      </c>
      <c r="J20" s="71">
        <f>I20/I18</f>
        <v>0.16598778004073317</v>
      </c>
    </row>
    <row r="21" spans="1:10" s="71" customFormat="1" ht="15">
      <c r="A21" s="85" t="s">
        <v>20</v>
      </c>
      <c r="B21" s="34" t="s">
        <v>21</v>
      </c>
      <c r="C21" s="103">
        <v>1.92</v>
      </c>
      <c r="D21" s="87">
        <f>D18*J21</f>
        <v>171660.83193482689</v>
      </c>
      <c r="E21" s="87">
        <f>E18*J21</f>
        <v>169076.78566191447</v>
      </c>
      <c r="F21" s="87">
        <f t="shared" si="0"/>
        <v>171660.83193482689</v>
      </c>
      <c r="G21" s="88">
        <f t="shared" si="1"/>
        <v>-2584.046272912412</v>
      </c>
      <c r="H21" s="178"/>
      <c r="I21" s="82">
        <f>C21</f>
        <v>1.92</v>
      </c>
      <c r="J21" s="71">
        <f>I21/I18</f>
        <v>0.1955193482688391</v>
      </c>
    </row>
    <row r="22" spans="1:10" s="71" customFormat="1" ht="15">
      <c r="A22" s="85" t="s">
        <v>22</v>
      </c>
      <c r="B22" s="34" t="s">
        <v>23</v>
      </c>
      <c r="C22" s="103">
        <v>2.93</v>
      </c>
      <c r="D22" s="87">
        <f>D18*J22</f>
        <v>261961.5820672098</v>
      </c>
      <c r="E22" s="87">
        <f>E18*J22</f>
        <v>258018.21978615076</v>
      </c>
      <c r="F22" s="87">
        <f t="shared" si="0"/>
        <v>261961.5820672098</v>
      </c>
      <c r="G22" s="88">
        <f t="shared" si="1"/>
        <v>-3943.3622810590314</v>
      </c>
      <c r="H22" s="178"/>
      <c r="I22" s="82">
        <f>C22</f>
        <v>2.93</v>
      </c>
      <c r="J22" s="71">
        <f>I22/I18</f>
        <v>0.2983706720977597</v>
      </c>
    </row>
    <row r="23" spans="1:11" s="39" customFormat="1" ht="14.25">
      <c r="A23" s="41" t="s">
        <v>25</v>
      </c>
      <c r="B23" s="41" t="s">
        <v>26</v>
      </c>
      <c r="C23" s="101">
        <v>3.72</v>
      </c>
      <c r="D23" s="81">
        <v>325192.88</v>
      </c>
      <c r="E23" s="81">
        <v>322735.08</v>
      </c>
      <c r="F23" s="80">
        <f t="shared" si="0"/>
        <v>325192.88</v>
      </c>
      <c r="G23" s="81">
        <f t="shared" si="1"/>
        <v>-2457.7999999999884</v>
      </c>
      <c r="H23" s="234"/>
      <c r="K23" s="193"/>
    </row>
    <row r="24" spans="1:8" s="39" customFormat="1" ht="14.25">
      <c r="A24" s="41" t="s">
        <v>27</v>
      </c>
      <c r="B24" s="41" t="s">
        <v>28</v>
      </c>
      <c r="C24" s="101">
        <v>0</v>
      </c>
      <c r="D24" s="81">
        <v>0</v>
      </c>
      <c r="E24" s="81"/>
      <c r="F24" s="81">
        <f t="shared" si="0"/>
        <v>0</v>
      </c>
      <c r="G24" s="81">
        <f t="shared" si="1"/>
        <v>0</v>
      </c>
      <c r="H24" s="234"/>
    </row>
    <row r="25" spans="1:8" s="39" customFormat="1" ht="28.5">
      <c r="A25" s="41" t="s">
        <v>29</v>
      </c>
      <c r="B25" s="41" t="s">
        <v>277</v>
      </c>
      <c r="C25" s="46">
        <v>120</v>
      </c>
      <c r="D25" s="81">
        <v>194926.45</v>
      </c>
      <c r="E25" s="81">
        <v>189954.21</v>
      </c>
      <c r="F25" s="81">
        <f>D25</f>
        <v>194926.45</v>
      </c>
      <c r="G25" s="81">
        <f>E25-D25</f>
        <v>-4972.24000000002</v>
      </c>
      <c r="H25" s="234"/>
    </row>
    <row r="26" spans="1:11" s="39" customFormat="1" ht="14.25">
      <c r="A26" s="41" t="s">
        <v>31</v>
      </c>
      <c r="B26" s="41" t="s">
        <v>119</v>
      </c>
      <c r="C26" s="101">
        <v>1.99</v>
      </c>
      <c r="D26" s="81">
        <v>175727.52</v>
      </c>
      <c r="E26" s="81">
        <v>177499.28</v>
      </c>
      <c r="F26" s="91">
        <f>F47</f>
        <v>311343.6928</v>
      </c>
      <c r="G26" s="81">
        <f t="shared" si="1"/>
        <v>1771.7600000000093</v>
      </c>
      <c r="H26" s="234"/>
      <c r="K26" s="193"/>
    </row>
    <row r="27" spans="1:8" s="39" customFormat="1" ht="14.25">
      <c r="A27" s="41" t="s">
        <v>33</v>
      </c>
      <c r="B27" s="41" t="s">
        <v>170</v>
      </c>
      <c r="C27" s="46" t="s">
        <v>314</v>
      </c>
      <c r="D27" s="94">
        <v>0</v>
      </c>
      <c r="E27" s="94">
        <v>0</v>
      </c>
      <c r="F27" s="94">
        <v>0</v>
      </c>
      <c r="G27" s="94">
        <f t="shared" si="1"/>
        <v>0</v>
      </c>
      <c r="H27" s="235"/>
    </row>
    <row r="28" spans="1:11" s="39" customFormat="1" ht="14.25">
      <c r="A28" s="41" t="s">
        <v>35</v>
      </c>
      <c r="B28" s="41" t="s">
        <v>36</v>
      </c>
      <c r="C28" s="46"/>
      <c r="D28" s="81">
        <f>D29+D30+D31+D32</f>
        <v>4406908.51</v>
      </c>
      <c r="E28" s="81">
        <f>E29+E30+E31+E32</f>
        <v>4158212.71</v>
      </c>
      <c r="F28" s="81">
        <f>F29+F30+F31+F32</f>
        <v>4406908.51</v>
      </c>
      <c r="G28" s="81">
        <f>SUM(G29:G32)</f>
        <v>-248695.8</v>
      </c>
      <c r="H28" s="234"/>
      <c r="K28" s="193"/>
    </row>
    <row r="29" spans="1:18" ht="15">
      <c r="A29" s="34" t="s">
        <v>37</v>
      </c>
      <c r="B29" s="34" t="s">
        <v>477</v>
      </c>
      <c r="C29" s="236" t="s">
        <v>476</v>
      </c>
      <c r="D29" s="88">
        <v>1350412.28</v>
      </c>
      <c r="E29" s="88">
        <v>1189350.35</v>
      </c>
      <c r="F29" s="88">
        <f>D29</f>
        <v>1350412.28</v>
      </c>
      <c r="G29" s="88">
        <f aca="true" t="shared" si="2" ref="G29:G34">E29-D29</f>
        <v>-161061.92999999993</v>
      </c>
      <c r="H29" s="178"/>
      <c r="Q29" s="237"/>
      <c r="R29" s="237"/>
    </row>
    <row r="30" spans="1:13" ht="15">
      <c r="A30" s="34" t="s">
        <v>39</v>
      </c>
      <c r="B30" s="34" t="s">
        <v>142</v>
      </c>
      <c r="C30" s="103" t="s">
        <v>315</v>
      </c>
      <c r="D30" s="88">
        <v>473361.12</v>
      </c>
      <c r="E30" s="226">
        <v>469995.16</v>
      </c>
      <c r="F30" s="226">
        <f>D30</f>
        <v>473361.12</v>
      </c>
      <c r="G30" s="88">
        <f t="shared" si="2"/>
        <v>-3365.960000000021</v>
      </c>
      <c r="H30" s="178"/>
      <c r="K30" s="167"/>
      <c r="L30" s="167"/>
      <c r="M30" s="167"/>
    </row>
    <row r="31" spans="1:13" ht="15">
      <c r="A31" s="34" t="s">
        <v>42</v>
      </c>
      <c r="B31" s="34" t="s">
        <v>478</v>
      </c>
      <c r="C31" s="149" t="s">
        <v>483</v>
      </c>
      <c r="D31" s="88">
        <v>689263.77</v>
      </c>
      <c r="E31" s="226">
        <v>655205.6</v>
      </c>
      <c r="F31" s="226">
        <f>D31</f>
        <v>689263.77</v>
      </c>
      <c r="G31" s="88">
        <f t="shared" si="2"/>
        <v>-34058.17000000004</v>
      </c>
      <c r="H31" s="178"/>
      <c r="K31" s="167"/>
      <c r="L31" s="167"/>
      <c r="M31" s="167"/>
    </row>
    <row r="32" spans="1:11" ht="15">
      <c r="A32" s="34" t="s">
        <v>41</v>
      </c>
      <c r="B32" s="34" t="s">
        <v>43</v>
      </c>
      <c r="C32" s="103" t="s">
        <v>482</v>
      </c>
      <c r="D32" s="88">
        <v>1893871.34</v>
      </c>
      <c r="E32" s="88">
        <v>1843661.6</v>
      </c>
      <c r="F32" s="88">
        <f>D32</f>
        <v>1893871.34</v>
      </c>
      <c r="G32" s="88">
        <f t="shared" si="2"/>
        <v>-50209.73999999999</v>
      </c>
      <c r="H32" s="178"/>
      <c r="K32" s="167"/>
    </row>
    <row r="33" spans="1:10" s="106" customFormat="1" ht="26.25">
      <c r="A33" s="252" t="s">
        <v>230</v>
      </c>
      <c r="B33" s="204" t="s">
        <v>642</v>
      </c>
      <c r="C33" s="238"/>
      <c r="D33" s="239">
        <f>50400+3000+2400+3600+3600</f>
        <v>63000</v>
      </c>
      <c r="E33" s="239">
        <f>49550+3000+250+1540+2860+3600+300</f>
        <v>61100</v>
      </c>
      <c r="F33" s="239">
        <v>0</v>
      </c>
      <c r="G33" s="88">
        <f t="shared" si="2"/>
        <v>-1900</v>
      </c>
      <c r="H33" s="178"/>
      <c r="I33" s="105"/>
      <c r="J33" s="105"/>
    </row>
    <row r="34" spans="1:10" s="106" customFormat="1" ht="26.25">
      <c r="A34" s="140" t="s">
        <v>647</v>
      </c>
      <c r="B34" s="140" t="s">
        <v>648</v>
      </c>
      <c r="C34" s="240">
        <v>1.99</v>
      </c>
      <c r="D34" s="241">
        <f>93518.56+30313.65+15090.64</f>
        <v>138922.84999999998</v>
      </c>
      <c r="E34" s="85">
        <f>89668.71+29812.37+14363.32</f>
        <v>133844.4</v>
      </c>
      <c r="F34" s="241">
        <v>0</v>
      </c>
      <c r="G34" s="88">
        <f t="shared" si="2"/>
        <v>-5078.4499999999825</v>
      </c>
      <c r="H34" s="178"/>
      <c r="I34" s="105"/>
      <c r="J34" s="105"/>
    </row>
    <row r="35" spans="1:10" s="106" customFormat="1" ht="39">
      <c r="A35" s="466" t="s">
        <v>789</v>
      </c>
      <c r="B35" s="140" t="s">
        <v>790</v>
      </c>
      <c r="C35" s="467"/>
      <c r="D35" s="241"/>
      <c r="E35" s="85">
        <v>99862.89</v>
      </c>
      <c r="F35" s="241">
        <v>0</v>
      </c>
      <c r="G35" s="88">
        <f>E35-D35</f>
        <v>99862.89</v>
      </c>
      <c r="H35" s="178"/>
      <c r="I35" s="105"/>
      <c r="J35" s="105"/>
    </row>
    <row r="36" spans="1:10" s="106" customFormat="1" ht="15.75" thickBot="1">
      <c r="A36" s="242"/>
      <c r="B36" s="53"/>
      <c r="C36" s="108"/>
      <c r="D36" s="105"/>
      <c r="E36" s="105"/>
      <c r="F36" s="105"/>
      <c r="G36" s="105"/>
      <c r="H36" s="105"/>
      <c r="I36" s="105"/>
      <c r="J36" s="105"/>
    </row>
    <row r="37" spans="1:10" s="71" customFormat="1" ht="15.75" thickBot="1">
      <c r="A37" s="319" t="s">
        <v>420</v>
      </c>
      <c r="B37" s="320"/>
      <c r="C37" s="320"/>
      <c r="D37" s="69">
        <f>D13+D18+D23+D24+D25+D26+D27+D28-E18-E23-E24-E25-E26-E27-E28</f>
        <v>842831.4499999983</v>
      </c>
      <c r="E37" s="70"/>
      <c r="F37" s="70"/>
      <c r="G37" s="70"/>
      <c r="H37" s="70"/>
      <c r="I37" s="66"/>
      <c r="J37" s="66"/>
    </row>
    <row r="38" spans="1:10" s="71" customFormat="1" ht="6.75" customHeight="1" thickBot="1">
      <c r="A38" s="72"/>
      <c r="B38" s="72"/>
      <c r="C38" s="72"/>
      <c r="D38" s="40"/>
      <c r="E38" s="70"/>
      <c r="F38" s="70"/>
      <c r="G38" s="70"/>
      <c r="H38" s="70"/>
      <c r="I38" s="66"/>
      <c r="J38" s="66"/>
    </row>
    <row r="39" spans="1:10" s="71" customFormat="1" ht="15.75" thickBot="1">
      <c r="A39" s="67" t="s">
        <v>646</v>
      </c>
      <c r="B39" s="68"/>
      <c r="C39" s="68"/>
      <c r="D39" s="73"/>
      <c r="E39" s="74"/>
      <c r="F39" s="74"/>
      <c r="G39" s="151">
        <f>G15+E26-F26+E34-F34+E35</f>
        <v>466725.0314999999</v>
      </c>
      <c r="H39" s="40"/>
      <c r="I39" s="66"/>
      <c r="J39" s="66"/>
    </row>
    <row r="40" spans="1:10" s="71" customFormat="1" ht="15">
      <c r="A40" s="418" t="s">
        <v>150</v>
      </c>
      <c r="B40" s="418"/>
      <c r="C40" s="72"/>
      <c r="D40" s="40"/>
      <c r="E40" s="70"/>
      <c r="F40" s="70"/>
      <c r="G40" s="40"/>
      <c r="H40" s="40"/>
      <c r="I40" s="66"/>
      <c r="J40" s="66"/>
    </row>
    <row r="41" spans="1:10" s="71" customFormat="1" ht="15">
      <c r="A41" s="419" t="s">
        <v>649</v>
      </c>
      <c r="B41" s="420"/>
      <c r="C41" s="44" t="s">
        <v>152</v>
      </c>
      <c r="D41" s="44" t="s">
        <v>153</v>
      </c>
      <c r="E41" s="45" t="s">
        <v>154</v>
      </c>
      <c r="F41" s="42" t="s">
        <v>155</v>
      </c>
      <c r="G41" s="45" t="s">
        <v>156</v>
      </c>
      <c r="H41" s="58"/>
      <c r="I41" s="66"/>
      <c r="J41" s="66"/>
    </row>
    <row r="42" spans="1:10" s="71" customFormat="1" ht="15">
      <c r="A42" s="421"/>
      <c r="B42" s="422"/>
      <c r="C42" s="240">
        <f>967.3+251.9+125.4</f>
        <v>1344.6000000000001</v>
      </c>
      <c r="D42" s="160">
        <f>E42/12/C42</f>
        <v>15.530001487431205</v>
      </c>
      <c r="E42" s="85">
        <f>46944.12+23369.52+90133.02+90133.02</f>
        <v>250579.68</v>
      </c>
      <c r="F42" s="85">
        <f>46827.55+21216.4+90133.02+60088.68+85373.9+85373.88+18784.96</f>
        <v>407798.3900000001</v>
      </c>
      <c r="G42" s="160">
        <f>E42-F42</f>
        <v>-157218.71000000008</v>
      </c>
      <c r="H42" s="243"/>
      <c r="I42" s="209"/>
      <c r="J42" s="209"/>
    </row>
    <row r="43" spans="1:10" s="71" customFormat="1" ht="15">
      <c r="A43" s="59"/>
      <c r="B43" s="59"/>
      <c r="C43" s="244"/>
      <c r="D43" s="245"/>
      <c r="E43" s="246"/>
      <c r="F43" s="246"/>
      <c r="G43" s="245"/>
      <c r="H43" s="243"/>
      <c r="I43" s="209"/>
      <c r="J43" s="209"/>
    </row>
    <row r="44" spans="1:10" ht="35.25" customHeight="1">
      <c r="A44" s="372" t="s">
        <v>44</v>
      </c>
      <c r="B44" s="423"/>
      <c r="C44" s="423"/>
      <c r="D44" s="423"/>
      <c r="E44" s="423"/>
      <c r="F44" s="423"/>
      <c r="G44" s="423"/>
      <c r="H44" s="247"/>
      <c r="I44" s="210"/>
      <c r="J44" s="210"/>
    </row>
    <row r="46" spans="1:8" s="179" customFormat="1" ht="28.5">
      <c r="A46" s="109" t="s">
        <v>11</v>
      </c>
      <c r="B46" s="340" t="s">
        <v>45</v>
      </c>
      <c r="C46" s="341"/>
      <c r="D46" s="109" t="s">
        <v>172</v>
      </c>
      <c r="E46" s="109" t="s">
        <v>171</v>
      </c>
      <c r="F46" s="340" t="s">
        <v>46</v>
      </c>
      <c r="G46" s="351"/>
      <c r="H46" s="248"/>
    </row>
    <row r="47" spans="1:8" s="119" customFormat="1" ht="15">
      <c r="A47" s="113" t="s">
        <v>47</v>
      </c>
      <c r="B47" s="342" t="s">
        <v>114</v>
      </c>
      <c r="C47" s="343"/>
      <c r="D47" s="180"/>
      <c r="E47" s="180"/>
      <c r="F47" s="356">
        <f>SUM(F48:G61)</f>
        <v>311343.6928</v>
      </c>
      <c r="G47" s="351"/>
      <c r="H47" s="248"/>
    </row>
    <row r="48" spans="1:8" ht="15">
      <c r="A48" s="34" t="s">
        <v>16</v>
      </c>
      <c r="B48" s="325" t="s">
        <v>467</v>
      </c>
      <c r="C48" s="326"/>
      <c r="D48" s="158"/>
      <c r="E48" s="158"/>
      <c r="F48" s="355">
        <v>60000</v>
      </c>
      <c r="G48" s="355"/>
      <c r="H48" s="192"/>
    </row>
    <row r="49" spans="1:8" ht="15">
      <c r="A49" s="34" t="s">
        <v>18</v>
      </c>
      <c r="B49" s="325" t="s">
        <v>468</v>
      </c>
      <c r="C49" s="326"/>
      <c r="D49" s="158" t="s">
        <v>273</v>
      </c>
      <c r="E49" s="158">
        <v>2</v>
      </c>
      <c r="F49" s="355">
        <v>1940.82</v>
      </c>
      <c r="G49" s="355"/>
      <c r="H49" s="192"/>
    </row>
    <row r="50" spans="1:8" ht="15" customHeight="1">
      <c r="A50" s="34" t="s">
        <v>20</v>
      </c>
      <c r="B50" s="325" t="s">
        <v>469</v>
      </c>
      <c r="C50" s="326"/>
      <c r="D50" s="158" t="s">
        <v>173</v>
      </c>
      <c r="E50" s="158">
        <v>1</v>
      </c>
      <c r="F50" s="366">
        <v>12375.48</v>
      </c>
      <c r="G50" s="367"/>
      <c r="H50" s="192"/>
    </row>
    <row r="51" spans="1:8" ht="15">
      <c r="A51" s="34" t="s">
        <v>22</v>
      </c>
      <c r="B51" s="325" t="s">
        <v>470</v>
      </c>
      <c r="C51" s="326"/>
      <c r="D51" s="158" t="s">
        <v>269</v>
      </c>
      <c r="E51" s="158">
        <v>0.01</v>
      </c>
      <c r="F51" s="355">
        <v>5430.52</v>
      </c>
      <c r="G51" s="355"/>
      <c r="H51" s="192"/>
    </row>
    <row r="52" spans="1:8" ht="15">
      <c r="A52" s="34" t="s">
        <v>24</v>
      </c>
      <c r="B52" s="325" t="s">
        <v>471</v>
      </c>
      <c r="C52" s="326"/>
      <c r="D52" s="158" t="s">
        <v>173</v>
      </c>
      <c r="E52" s="158">
        <v>2</v>
      </c>
      <c r="F52" s="355">
        <v>3904</v>
      </c>
      <c r="G52" s="355"/>
      <c r="H52" s="192"/>
    </row>
    <row r="53" spans="1:8" ht="15">
      <c r="A53" s="34" t="s">
        <v>106</v>
      </c>
      <c r="B53" s="325" t="s">
        <v>472</v>
      </c>
      <c r="C53" s="326"/>
      <c r="D53" s="158" t="s">
        <v>173</v>
      </c>
      <c r="E53" s="158">
        <v>8</v>
      </c>
      <c r="F53" s="355">
        <v>24731</v>
      </c>
      <c r="G53" s="355"/>
      <c r="H53" s="192"/>
    </row>
    <row r="54" spans="1:8" ht="15">
      <c r="A54" s="34" t="s">
        <v>107</v>
      </c>
      <c r="B54" s="325" t="s">
        <v>379</v>
      </c>
      <c r="C54" s="326"/>
      <c r="D54" s="158" t="s">
        <v>352</v>
      </c>
      <c r="E54" s="158">
        <v>0.98</v>
      </c>
      <c r="F54" s="355">
        <v>130582</v>
      </c>
      <c r="G54" s="355"/>
      <c r="H54" s="192"/>
    </row>
    <row r="55" spans="1:8" ht="15">
      <c r="A55" s="34" t="s">
        <v>120</v>
      </c>
      <c r="B55" s="325" t="s">
        <v>473</v>
      </c>
      <c r="C55" s="326"/>
      <c r="D55" s="158" t="s">
        <v>269</v>
      </c>
      <c r="E55" s="158">
        <v>0.01</v>
      </c>
      <c r="F55" s="355">
        <v>1034</v>
      </c>
      <c r="G55" s="355"/>
      <c r="H55" s="192"/>
    </row>
    <row r="56" spans="1:8" ht="15" customHeight="1">
      <c r="A56" s="34" t="s">
        <v>121</v>
      </c>
      <c r="B56" s="325" t="s">
        <v>474</v>
      </c>
      <c r="C56" s="326"/>
      <c r="D56" s="158" t="s">
        <v>173</v>
      </c>
      <c r="E56" s="158">
        <v>1</v>
      </c>
      <c r="F56" s="366">
        <v>2651</v>
      </c>
      <c r="G56" s="367"/>
      <c r="H56" s="192"/>
    </row>
    <row r="57" spans="1:8" ht="13.5" customHeight="1">
      <c r="A57" s="34" t="s">
        <v>122</v>
      </c>
      <c r="B57" s="325" t="s">
        <v>475</v>
      </c>
      <c r="C57" s="326"/>
      <c r="D57" s="158"/>
      <c r="E57" s="158"/>
      <c r="F57" s="366">
        <v>1587.88</v>
      </c>
      <c r="G57" s="367"/>
      <c r="H57" s="192"/>
    </row>
    <row r="58" spans="1:8" ht="42" customHeight="1">
      <c r="A58" s="34" t="s">
        <v>144</v>
      </c>
      <c r="B58" s="325" t="s">
        <v>654</v>
      </c>
      <c r="C58" s="326"/>
      <c r="D58" s="158"/>
      <c r="E58" s="158"/>
      <c r="F58" s="366">
        <v>12000</v>
      </c>
      <c r="G58" s="367"/>
      <c r="H58" s="192"/>
    </row>
    <row r="59" spans="1:8" ht="21.75" customHeight="1">
      <c r="A59" s="34" t="s">
        <v>147</v>
      </c>
      <c r="B59" s="325" t="s">
        <v>537</v>
      </c>
      <c r="C59" s="326"/>
      <c r="D59" s="158" t="s">
        <v>173</v>
      </c>
      <c r="E59" s="158">
        <v>1</v>
      </c>
      <c r="F59" s="366">
        <v>1332</v>
      </c>
      <c r="G59" s="367"/>
      <c r="H59" s="192"/>
    </row>
    <row r="60" spans="1:8" ht="42" customHeight="1">
      <c r="A60" s="34" t="s">
        <v>148</v>
      </c>
      <c r="B60" s="325" t="s">
        <v>679</v>
      </c>
      <c r="C60" s="326"/>
      <c r="D60" s="158"/>
      <c r="E60" s="158" t="s">
        <v>676</v>
      </c>
      <c r="F60" s="366">
        <v>52000</v>
      </c>
      <c r="G60" s="367"/>
      <c r="H60" s="192"/>
    </row>
    <row r="61" spans="1:8" ht="15" customHeight="1">
      <c r="A61" s="34" t="s">
        <v>578</v>
      </c>
      <c r="B61" s="364" t="s">
        <v>207</v>
      </c>
      <c r="C61" s="424"/>
      <c r="D61" s="202"/>
      <c r="E61" s="202"/>
      <c r="F61" s="355">
        <f>E26*1%</f>
        <v>1774.9928</v>
      </c>
      <c r="G61" s="355"/>
      <c r="H61" s="192"/>
    </row>
    <row r="62" spans="1:8" ht="15">
      <c r="A62" s="176"/>
      <c r="B62" s="97"/>
      <c r="C62" s="97"/>
      <c r="D62" s="97"/>
      <c r="E62" s="97"/>
      <c r="F62" s="192"/>
      <c r="G62" s="192"/>
      <c r="H62" s="192"/>
    </row>
    <row r="63" s="71" customFormat="1" ht="15"/>
    <row r="64" spans="1:6" s="71" customFormat="1" ht="15">
      <c r="A64" s="71" t="s">
        <v>55</v>
      </c>
      <c r="C64" s="71" t="s">
        <v>49</v>
      </c>
      <c r="F64" s="71" t="s">
        <v>93</v>
      </c>
    </row>
    <row r="65" s="71" customFormat="1" ht="15">
      <c r="F65" s="132" t="s">
        <v>296</v>
      </c>
    </row>
    <row r="66" s="71" customFormat="1" ht="15">
      <c r="A66" s="71" t="s">
        <v>50</v>
      </c>
    </row>
    <row r="67" spans="3:8" s="71" customFormat="1" ht="15">
      <c r="C67" s="134" t="s">
        <v>51</v>
      </c>
      <c r="E67" s="134"/>
      <c r="F67" s="134"/>
      <c r="G67" s="134"/>
      <c r="H67" s="134"/>
    </row>
  </sheetData>
  <sheetProtection/>
  <mergeCells count="44">
    <mergeCell ref="F51:G51"/>
    <mergeCell ref="B51:C51"/>
    <mergeCell ref="F52:G52"/>
    <mergeCell ref="F53:G53"/>
    <mergeCell ref="F54:G54"/>
    <mergeCell ref="B55:C55"/>
    <mergeCell ref="F61:G61"/>
    <mergeCell ref="B57:C57"/>
    <mergeCell ref="B56:C56"/>
    <mergeCell ref="F58:G58"/>
    <mergeCell ref="F57:G57"/>
    <mergeCell ref="F55:G55"/>
    <mergeCell ref="F56:G56"/>
    <mergeCell ref="B61:C61"/>
    <mergeCell ref="B60:C60"/>
    <mergeCell ref="F60:G60"/>
    <mergeCell ref="F48:G48"/>
    <mergeCell ref="F49:G49"/>
    <mergeCell ref="F50:G50"/>
    <mergeCell ref="B48:C48"/>
    <mergeCell ref="B49:C49"/>
    <mergeCell ref="B58:C58"/>
    <mergeCell ref="B50:C50"/>
    <mergeCell ref="B54:C54"/>
    <mergeCell ref="B52:C52"/>
    <mergeCell ref="B53:C53"/>
    <mergeCell ref="A41:B42"/>
    <mergeCell ref="A44:G44"/>
    <mergeCell ref="A11:J11"/>
    <mergeCell ref="A1:J1"/>
    <mergeCell ref="A2:J2"/>
    <mergeCell ref="A3:J3"/>
    <mergeCell ref="A5:J5"/>
    <mergeCell ref="A10:J10"/>
    <mergeCell ref="B59:C59"/>
    <mergeCell ref="F59:G59"/>
    <mergeCell ref="A12:J12"/>
    <mergeCell ref="A13:C13"/>
    <mergeCell ref="B47:C47"/>
    <mergeCell ref="A37:C37"/>
    <mergeCell ref="F47:G47"/>
    <mergeCell ref="F46:G46"/>
    <mergeCell ref="B46:C46"/>
    <mergeCell ref="A40:B40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landscape" paperSize="9" scale="95" r:id="rId1"/>
  <colBreaks count="1" manualBreakCount="1">
    <brk id="8" max="52" man="1"/>
  </colBreaks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7030A0"/>
  </sheetPr>
  <dimension ref="A1:Q70"/>
  <sheetViews>
    <sheetView zoomScalePageLayoutView="0" workbookViewId="0" topLeftCell="A19">
      <selection activeCell="G38" sqref="G38"/>
    </sheetView>
  </sheetViews>
  <sheetFormatPr defaultColWidth="9.140625" defaultRowHeight="15" outlineLevelCol="1"/>
  <cols>
    <col min="1" max="1" width="6.140625" style="35" customWidth="1"/>
    <col min="2" max="2" width="46.00390625" style="35" customWidth="1"/>
    <col min="3" max="3" width="13.57421875" style="35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8.7109375" style="35" hidden="1" customWidth="1" outlineLevel="1"/>
    <col min="10" max="10" width="1.421875" style="35" hidden="1" customWidth="1" outlineLevel="1"/>
    <col min="11" max="11" width="0.13671875" style="35" hidden="1" customWidth="1" outlineLevel="1"/>
    <col min="12" max="12" width="0.9921875" style="35" hidden="1" customWidth="1" outlineLevel="1"/>
    <col min="13" max="13" width="11.8515625" style="249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15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6" s="71" customFormat="1" ht="15">
      <c r="A7" s="71" t="s">
        <v>2</v>
      </c>
      <c r="F7" s="132" t="s">
        <v>138</v>
      </c>
    </row>
    <row r="8" spans="1:9" s="71" customFormat="1" ht="15">
      <c r="A8" s="71" t="s">
        <v>3</v>
      </c>
      <c r="F8" s="132" t="s">
        <v>568</v>
      </c>
      <c r="H8" s="175">
        <f>98.9+99+104.6+95.1+98.9+105.9+88.2+101.8+97.9+137.3+106.9+151.9+35.9+188</f>
        <v>1510.3000000000002</v>
      </c>
      <c r="I8" s="224">
        <f>15126.9+1510.3</f>
        <v>16637.2</v>
      </c>
    </row>
    <row r="9" s="71" customFormat="1" ht="15">
      <c r="I9" s="250">
        <f>I8-15126.9-C42</f>
        <v>188.00000000000114</v>
      </c>
    </row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5.75" thickBot="1">
      <c r="A13" s="319" t="s">
        <v>419</v>
      </c>
      <c r="B13" s="320"/>
      <c r="C13" s="320"/>
      <c r="D13" s="51">
        <v>1134908.39</v>
      </c>
      <c r="E13" s="70"/>
      <c r="F13" s="70"/>
      <c r="G13" s="70"/>
      <c r="H13" s="66"/>
      <c r="I13" s="66"/>
    </row>
    <row r="14" spans="1:9" s="71" customFormat="1" ht="15.75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514</v>
      </c>
      <c r="B15" s="68"/>
      <c r="C15" s="68"/>
      <c r="D15" s="73"/>
      <c r="E15" s="74"/>
      <c r="F15" s="74"/>
      <c r="G15" s="151">
        <f>'[1]Солнечный б-р 2 общий'!$G$37</f>
        <v>534470.3467000001</v>
      </c>
      <c r="H15" s="66"/>
      <c r="I15" s="66"/>
    </row>
    <row r="16" s="71" customFormat="1" ht="15"/>
    <row r="17" spans="1:7" s="78" customFormat="1" ht="38.25">
      <c r="A17" s="76" t="s">
        <v>11</v>
      </c>
      <c r="B17" s="76" t="s">
        <v>12</v>
      </c>
      <c r="C17" s="76" t="s">
        <v>94</v>
      </c>
      <c r="D17" s="76" t="s">
        <v>466</v>
      </c>
      <c r="E17" s="76" t="s">
        <v>284</v>
      </c>
      <c r="F17" s="77" t="s">
        <v>298</v>
      </c>
      <c r="G17" s="76" t="s">
        <v>299</v>
      </c>
    </row>
    <row r="18" spans="1:9" s="175" customFormat="1" ht="28.5">
      <c r="A18" s="79" t="s">
        <v>14</v>
      </c>
      <c r="B18" s="41" t="s">
        <v>15</v>
      </c>
      <c r="C18" s="101">
        <v>13.37</v>
      </c>
      <c r="D18" s="80">
        <f>1587309.46+860987.22</f>
        <v>2448296.6799999997</v>
      </c>
      <c r="E18" s="80">
        <f>1569720.55+890878.06</f>
        <v>2460598.6100000003</v>
      </c>
      <c r="F18" s="80">
        <f aca="true" t="shared" si="0" ref="F18:F26">D18</f>
        <v>2448296.6799999997</v>
      </c>
      <c r="G18" s="81">
        <f aca="true" t="shared" si="1" ref="G18:G28">E18-D18</f>
        <v>12301.930000000633</v>
      </c>
      <c r="H18" s="142">
        <f aca="true" t="shared" si="2" ref="H18:H23">C18</f>
        <v>13.37</v>
      </c>
      <c r="I18" s="175">
        <f>D18/12/C18</f>
        <v>15259.88955372725</v>
      </c>
    </row>
    <row r="19" spans="1:9" s="71" customFormat="1" ht="15">
      <c r="A19" s="85" t="s">
        <v>16</v>
      </c>
      <c r="B19" s="34" t="s">
        <v>17</v>
      </c>
      <c r="C19" s="86">
        <v>3.34</v>
      </c>
      <c r="D19" s="87">
        <f>D18*I19</f>
        <v>611616.3733133881</v>
      </c>
      <c r="E19" s="87">
        <f>E18*I19</f>
        <v>614689.5555273</v>
      </c>
      <c r="F19" s="87">
        <f t="shared" si="0"/>
        <v>611616.3733133881</v>
      </c>
      <c r="G19" s="88">
        <f t="shared" si="1"/>
        <v>3073.182213911903</v>
      </c>
      <c r="H19" s="82">
        <f t="shared" si="2"/>
        <v>3.34</v>
      </c>
      <c r="I19" s="71">
        <f>H19/H18</f>
        <v>0.24981301421091998</v>
      </c>
    </row>
    <row r="20" spans="1:9" s="71" customFormat="1" ht="15">
      <c r="A20" s="85" t="s">
        <v>18</v>
      </c>
      <c r="B20" s="34" t="s">
        <v>19</v>
      </c>
      <c r="C20" s="86">
        <v>1.63</v>
      </c>
      <c r="D20" s="87">
        <f>D18*I20</f>
        <v>298483.43967090495</v>
      </c>
      <c r="E20" s="87">
        <f>E18*I20</f>
        <v>299983.2262004488</v>
      </c>
      <c r="F20" s="87">
        <f t="shared" si="0"/>
        <v>298483.43967090495</v>
      </c>
      <c r="G20" s="88">
        <f t="shared" si="1"/>
        <v>1499.7865295438678</v>
      </c>
      <c r="H20" s="82">
        <f t="shared" si="2"/>
        <v>1.63</v>
      </c>
      <c r="I20" s="71">
        <f>H20/H18</f>
        <v>0.1219147344801795</v>
      </c>
    </row>
    <row r="21" spans="1:9" s="71" customFormat="1" ht="15">
      <c r="A21" s="85" t="s">
        <v>20</v>
      </c>
      <c r="B21" s="34" t="s">
        <v>21</v>
      </c>
      <c r="C21" s="86">
        <v>1.97</v>
      </c>
      <c r="D21" s="87">
        <f>D18*I21</f>
        <v>360743.78905011213</v>
      </c>
      <c r="E21" s="87">
        <f>E18*I21</f>
        <v>362556.41448765894</v>
      </c>
      <c r="F21" s="87">
        <f t="shared" si="0"/>
        <v>360743.78905011213</v>
      </c>
      <c r="G21" s="88">
        <f t="shared" si="1"/>
        <v>1812.6254375468125</v>
      </c>
      <c r="H21" s="82">
        <f t="shared" si="2"/>
        <v>1.97</v>
      </c>
      <c r="I21" s="71">
        <f>H21/H18</f>
        <v>0.14734480179506357</v>
      </c>
    </row>
    <row r="22" spans="1:9" s="71" customFormat="1" ht="15">
      <c r="A22" s="85" t="s">
        <v>22</v>
      </c>
      <c r="B22" s="34" t="s">
        <v>23</v>
      </c>
      <c r="C22" s="86">
        <v>2.93</v>
      </c>
      <c r="D22" s="87">
        <f>D18*I22</f>
        <v>536537.7167090501</v>
      </c>
      <c r="E22" s="87">
        <f>E18*I22</f>
        <v>539233.6520044878</v>
      </c>
      <c r="F22" s="87">
        <f t="shared" si="0"/>
        <v>536537.7167090501</v>
      </c>
      <c r="G22" s="88">
        <f t="shared" si="1"/>
        <v>2695.9352954376955</v>
      </c>
      <c r="H22" s="82">
        <f t="shared" si="2"/>
        <v>2.93</v>
      </c>
      <c r="I22" s="71">
        <f>H22/H18</f>
        <v>0.2191473448017951</v>
      </c>
    </row>
    <row r="23" spans="1:9" s="71" customFormat="1" ht="15">
      <c r="A23" s="85" t="s">
        <v>22</v>
      </c>
      <c r="B23" s="34" t="s">
        <v>197</v>
      </c>
      <c r="C23" s="86">
        <v>3.5</v>
      </c>
      <c r="D23" s="87">
        <f>D18*I23</f>
        <v>640915.3612565445</v>
      </c>
      <c r="E23" s="87">
        <f>E18*I23</f>
        <v>644135.7617801048</v>
      </c>
      <c r="F23" s="87">
        <f>D23</f>
        <v>640915.3612565445</v>
      </c>
      <c r="G23" s="88">
        <f t="shared" si="1"/>
        <v>3220.4005235603545</v>
      </c>
      <c r="H23" s="82">
        <f t="shared" si="2"/>
        <v>3.5</v>
      </c>
      <c r="I23" s="71">
        <f>H23/H18</f>
        <v>0.2617801047120419</v>
      </c>
    </row>
    <row r="24" spans="1:17" s="39" customFormat="1" ht="15">
      <c r="A24" s="41" t="s">
        <v>25</v>
      </c>
      <c r="B24" s="41" t="s">
        <v>26</v>
      </c>
      <c r="C24" s="101">
        <v>3.72</v>
      </c>
      <c r="D24" s="81">
        <f>437332.23+236764.25</f>
        <v>674096.48</v>
      </c>
      <c r="E24" s="81">
        <f>450906.67+252335.13</f>
        <v>703241.8</v>
      </c>
      <c r="F24" s="80">
        <f t="shared" si="0"/>
        <v>674096.48</v>
      </c>
      <c r="G24" s="81">
        <f t="shared" si="1"/>
        <v>29145.320000000065</v>
      </c>
      <c r="M24" s="251"/>
      <c r="Q24" s="193"/>
    </row>
    <row r="25" spans="1:13" s="39" customFormat="1" ht="15">
      <c r="A25" s="41" t="s">
        <v>27</v>
      </c>
      <c r="B25" s="41" t="s">
        <v>28</v>
      </c>
      <c r="C25" s="101">
        <v>0</v>
      </c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  <c r="M25" s="251"/>
    </row>
    <row r="26" spans="1:13" s="39" customFormat="1" ht="15">
      <c r="A26" s="41" t="s">
        <v>29</v>
      </c>
      <c r="B26" s="41" t="s">
        <v>170</v>
      </c>
      <c r="C26" s="101" t="s">
        <v>314</v>
      </c>
      <c r="D26" s="94">
        <v>0</v>
      </c>
      <c r="E26" s="94">
        <v>0</v>
      </c>
      <c r="F26" s="94">
        <f t="shared" si="0"/>
        <v>0</v>
      </c>
      <c r="G26" s="94">
        <f t="shared" si="1"/>
        <v>0</v>
      </c>
      <c r="M26" s="251"/>
    </row>
    <row r="27" spans="1:15" s="39" customFormat="1" ht="15">
      <c r="A27" s="41" t="s">
        <v>31</v>
      </c>
      <c r="B27" s="41" t="s">
        <v>119</v>
      </c>
      <c r="C27" s="101">
        <v>1.99</v>
      </c>
      <c r="D27" s="81">
        <f>235364.34+125530.76</f>
        <v>360895.1</v>
      </c>
      <c r="E27" s="81">
        <f>243370.79+134764.58</f>
        <v>378135.37</v>
      </c>
      <c r="F27" s="91">
        <f>G46</f>
        <v>686205.0737</v>
      </c>
      <c r="G27" s="81">
        <f t="shared" si="1"/>
        <v>17240.27000000002</v>
      </c>
      <c r="M27" s="251"/>
      <c r="O27" s="193"/>
    </row>
    <row r="28" spans="1:13" s="39" customFormat="1" ht="15">
      <c r="A28" s="41" t="s">
        <v>33</v>
      </c>
      <c r="B28" s="41" t="s">
        <v>34</v>
      </c>
      <c r="C28" s="46">
        <v>0</v>
      </c>
      <c r="D28" s="81">
        <v>0</v>
      </c>
      <c r="E28" s="81">
        <v>0</v>
      </c>
      <c r="F28" s="91">
        <v>0</v>
      </c>
      <c r="G28" s="81">
        <f t="shared" si="1"/>
        <v>0</v>
      </c>
      <c r="M28" s="251"/>
    </row>
    <row r="29" spans="1:13" s="39" customFormat="1" ht="15">
      <c r="A29" s="41" t="s">
        <v>35</v>
      </c>
      <c r="B29" s="41" t="s">
        <v>36</v>
      </c>
      <c r="C29" s="101">
        <f>SUM(C30:C33)</f>
        <v>0</v>
      </c>
      <c r="D29" s="81">
        <f>SUM(D30:D33)</f>
        <v>8306704.02</v>
      </c>
      <c r="E29" s="81">
        <f>SUM(E30:E33)</f>
        <v>8452969.92</v>
      </c>
      <c r="F29" s="81">
        <f>SUM(F30:F33)</f>
        <v>8306704.02</v>
      </c>
      <c r="G29" s="81">
        <f>SUM(G30:G33)</f>
        <v>146265.89999999967</v>
      </c>
      <c r="M29" s="251"/>
    </row>
    <row r="30" spans="1:7" ht="15">
      <c r="A30" s="34" t="s">
        <v>37</v>
      </c>
      <c r="B30" s="34" t="s">
        <v>184</v>
      </c>
      <c r="C30" s="236" t="s">
        <v>487</v>
      </c>
      <c r="D30" s="88">
        <f>1260821.62+1065648.45</f>
        <v>2326470.0700000003</v>
      </c>
      <c r="E30" s="88">
        <f>1296798.26+1106749.47</f>
        <v>2403547.73</v>
      </c>
      <c r="F30" s="88">
        <f>D30</f>
        <v>2326470.0700000003</v>
      </c>
      <c r="G30" s="88">
        <f>E30-D30</f>
        <v>77077.65999999968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f>589836.05+452137.18</f>
        <v>1041973.23</v>
      </c>
      <c r="E31" s="88">
        <f>613197.57+402826.62</f>
        <v>1016024.19</v>
      </c>
      <c r="F31" s="88">
        <f>D31</f>
        <v>1041973.23</v>
      </c>
      <c r="G31" s="88">
        <f>E31-D31</f>
        <v>-25949.040000000037</v>
      </c>
    </row>
    <row r="32" spans="1:7" ht="15">
      <c r="A32" s="34" t="s">
        <v>42</v>
      </c>
      <c r="B32" s="34" t="s">
        <v>143</v>
      </c>
      <c r="C32" s="149" t="s">
        <v>488</v>
      </c>
      <c r="D32" s="88">
        <f>882033.72+628078.57</f>
        <v>1510112.29</v>
      </c>
      <c r="E32" s="88">
        <f>869772.1+620517.62</f>
        <v>1490289.72</v>
      </c>
      <c r="F32" s="88">
        <f>D32</f>
        <v>1510112.29</v>
      </c>
      <c r="G32" s="88">
        <f>E32-D32</f>
        <v>-19822.570000000065</v>
      </c>
    </row>
    <row r="33" spans="1:7" ht="15">
      <c r="A33" s="34" t="s">
        <v>41</v>
      </c>
      <c r="B33" s="34" t="s">
        <v>43</v>
      </c>
      <c r="C33" s="103" t="s">
        <v>482</v>
      </c>
      <c r="D33" s="88">
        <f>2206576.74+1221571.69</f>
        <v>3428148.43</v>
      </c>
      <c r="E33" s="88">
        <f>2329095.56+1214012.72</f>
        <v>3543108.2800000003</v>
      </c>
      <c r="F33" s="88">
        <f>D33</f>
        <v>3428148.43</v>
      </c>
      <c r="G33" s="88">
        <f>E33-D33</f>
        <v>114959.8500000001</v>
      </c>
    </row>
    <row r="34" spans="1:7" ht="18" customHeight="1">
      <c r="A34" s="252" t="s">
        <v>230</v>
      </c>
      <c r="B34" s="204" t="s">
        <v>641</v>
      </c>
      <c r="C34" s="46"/>
      <c r="D34" s="101">
        <f>3000+4800+3600+10800+3000</f>
        <v>25200</v>
      </c>
      <c r="E34" s="101">
        <f>3000+3070+2860+10800+2800</f>
        <v>22530</v>
      </c>
      <c r="F34" s="101">
        <v>0</v>
      </c>
      <c r="G34" s="101">
        <f>E34-D34</f>
        <v>-2670</v>
      </c>
    </row>
    <row r="35" spans="1:10" s="106" customFormat="1" ht="14.25" thickBot="1">
      <c r="A35" s="108"/>
      <c r="B35" s="108"/>
      <c r="C35" s="108"/>
      <c r="D35" s="105"/>
      <c r="E35" s="105"/>
      <c r="F35" s="105"/>
      <c r="G35" s="105"/>
      <c r="H35" s="105"/>
      <c r="I35" s="105"/>
      <c r="J35" s="105"/>
    </row>
    <row r="36" spans="1:9" s="71" customFormat="1" ht="15.75" thickBot="1">
      <c r="A36" s="319" t="s">
        <v>420</v>
      </c>
      <c r="B36" s="320"/>
      <c r="C36" s="320"/>
      <c r="D36" s="69">
        <f>D13+D18+D24+D25+D26+D27+D28+D29-E18-E24-E25-E26-E27-E28-E29</f>
        <v>929954.9699999988</v>
      </c>
      <c r="E36" s="70"/>
      <c r="F36" s="70"/>
      <c r="G36" s="70"/>
      <c r="H36" s="66"/>
      <c r="I36" s="66"/>
    </row>
    <row r="37" spans="1:9" s="71" customFormat="1" ht="5.25" customHeight="1" thickBot="1">
      <c r="A37" s="72"/>
      <c r="B37" s="72"/>
      <c r="C37" s="72"/>
      <c r="D37" s="40"/>
      <c r="E37" s="70"/>
      <c r="F37" s="70"/>
      <c r="G37" s="70"/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69">
        <f>G15+E27-F27</f>
        <v>226400.64300000016</v>
      </c>
      <c r="H38" s="253"/>
      <c r="I38" s="66"/>
    </row>
    <row r="39" spans="1:9" s="71" customFormat="1" ht="5.25" customHeight="1">
      <c r="A39" s="72"/>
      <c r="B39" s="72"/>
      <c r="C39" s="72"/>
      <c r="D39" s="40"/>
      <c r="E39" s="70"/>
      <c r="F39" s="70"/>
      <c r="G39" s="40"/>
      <c r="H39" s="66"/>
      <c r="I39" s="66"/>
    </row>
    <row r="40" spans="1:9" s="71" customFormat="1" ht="15">
      <c r="A40" s="418" t="s">
        <v>150</v>
      </c>
      <c r="B40" s="418"/>
      <c r="C40" s="72"/>
      <c r="D40" s="40"/>
      <c r="E40" s="70"/>
      <c r="F40" s="70"/>
      <c r="G40" s="40"/>
      <c r="H40" s="66"/>
      <c r="I40" s="66"/>
    </row>
    <row r="41" spans="1:9" s="71" customFormat="1" ht="15">
      <c r="A41" s="419" t="s">
        <v>151</v>
      </c>
      <c r="B41" s="420"/>
      <c r="C41" s="44" t="s">
        <v>152</v>
      </c>
      <c r="D41" s="44" t="s">
        <v>153</v>
      </c>
      <c r="E41" s="45" t="s">
        <v>154</v>
      </c>
      <c r="F41" s="42" t="s">
        <v>155</v>
      </c>
      <c r="G41" s="45" t="s">
        <v>156</v>
      </c>
      <c r="H41" s="66"/>
      <c r="I41" s="66"/>
    </row>
    <row r="42" spans="1:9" s="71" customFormat="1" ht="15">
      <c r="A42" s="421"/>
      <c r="B42" s="422"/>
      <c r="C42" s="240">
        <v>1322.3</v>
      </c>
      <c r="D42" s="160">
        <v>14.85</v>
      </c>
      <c r="E42" s="85">
        <f>18609+17894.04+18609+19926.12+16595.76+25834.32+20114.28+6754.92+28581.48+34093.05</f>
        <v>207011.97000000003</v>
      </c>
      <c r="F42" s="85">
        <f>40314.59+22000+18609+21498.74+25481.9+27873.23+64284.12+53341.11+37311.13</f>
        <v>310713.82</v>
      </c>
      <c r="G42" s="160">
        <f>E42-F42</f>
        <v>-103701.84999999998</v>
      </c>
      <c r="H42" s="66"/>
      <c r="I42" s="66"/>
    </row>
    <row r="43" spans="1:9" ht="35.25" customHeight="1">
      <c r="A43" s="372" t="s">
        <v>44</v>
      </c>
      <c r="B43" s="423"/>
      <c r="C43" s="423"/>
      <c r="D43" s="423"/>
      <c r="E43" s="423"/>
      <c r="F43" s="423"/>
      <c r="G43" s="423"/>
      <c r="H43" s="210"/>
      <c r="I43" s="210"/>
    </row>
    <row r="45" spans="1:9" s="179" customFormat="1" ht="28.5" customHeight="1">
      <c r="A45" s="109" t="s">
        <v>11</v>
      </c>
      <c r="B45" s="426" t="s">
        <v>45</v>
      </c>
      <c r="C45" s="426"/>
      <c r="D45" s="426"/>
      <c r="E45" s="109" t="s">
        <v>172</v>
      </c>
      <c r="F45" s="109" t="s">
        <v>171</v>
      </c>
      <c r="G45" s="109" t="s">
        <v>46</v>
      </c>
      <c r="H45" s="256"/>
      <c r="I45" s="118"/>
    </row>
    <row r="46" spans="1:9" s="119" customFormat="1" ht="15">
      <c r="A46" s="113" t="s">
        <v>47</v>
      </c>
      <c r="B46" s="427" t="s">
        <v>114</v>
      </c>
      <c r="C46" s="427"/>
      <c r="D46" s="427"/>
      <c r="E46" s="180"/>
      <c r="F46" s="180"/>
      <c r="G46" s="304">
        <f>SUM(G47:I65)</f>
        <v>686205.0737</v>
      </c>
      <c r="H46" s="305"/>
      <c r="I46" s="306"/>
    </row>
    <row r="47" spans="1:9" ht="15" customHeight="1">
      <c r="A47" s="34" t="s">
        <v>16</v>
      </c>
      <c r="B47" s="425" t="s">
        <v>489</v>
      </c>
      <c r="C47" s="425"/>
      <c r="D47" s="425"/>
      <c r="E47" s="158" t="s">
        <v>173</v>
      </c>
      <c r="F47" s="158">
        <v>1</v>
      </c>
      <c r="G47" s="125">
        <v>5777.2</v>
      </c>
      <c r="H47" s="307"/>
      <c r="I47" s="307"/>
    </row>
    <row r="48" spans="1:9" ht="15" customHeight="1">
      <c r="A48" s="34" t="s">
        <v>18</v>
      </c>
      <c r="B48" s="425" t="s">
        <v>490</v>
      </c>
      <c r="C48" s="425"/>
      <c r="D48" s="425"/>
      <c r="E48" s="158" t="s">
        <v>265</v>
      </c>
      <c r="F48" s="158">
        <v>0.1</v>
      </c>
      <c r="G48" s="125">
        <v>9401</v>
      </c>
      <c r="H48" s="307"/>
      <c r="I48" s="307"/>
    </row>
    <row r="49" spans="1:9" ht="15" customHeight="1">
      <c r="A49" s="34" t="s">
        <v>20</v>
      </c>
      <c r="B49" s="425" t="s">
        <v>491</v>
      </c>
      <c r="C49" s="425"/>
      <c r="D49" s="425"/>
      <c r="E49" s="158" t="s">
        <v>265</v>
      </c>
      <c r="F49" s="158">
        <v>0.02</v>
      </c>
      <c r="G49" s="125">
        <v>959</v>
      </c>
      <c r="H49" s="307"/>
      <c r="I49" s="307"/>
    </row>
    <row r="50" spans="1:9" ht="15">
      <c r="A50" s="34" t="s">
        <v>22</v>
      </c>
      <c r="B50" s="425" t="s">
        <v>765</v>
      </c>
      <c r="C50" s="425"/>
      <c r="D50" s="425"/>
      <c r="E50" s="158" t="s">
        <v>173</v>
      </c>
      <c r="F50" s="158">
        <v>1</v>
      </c>
      <c r="G50" s="125">
        <v>17801.38</v>
      </c>
      <c r="H50" s="307"/>
      <c r="I50" s="307"/>
    </row>
    <row r="51" spans="1:9" ht="15" customHeight="1">
      <c r="A51" s="34" t="s">
        <v>24</v>
      </c>
      <c r="B51" s="425" t="s">
        <v>492</v>
      </c>
      <c r="C51" s="425"/>
      <c r="D51" s="425"/>
      <c r="E51" s="158" t="s">
        <v>269</v>
      </c>
      <c r="F51" s="158">
        <v>0.02</v>
      </c>
      <c r="G51" s="125">
        <v>867.41</v>
      </c>
      <c r="H51" s="307"/>
      <c r="I51" s="307"/>
    </row>
    <row r="52" spans="1:9" ht="15" customHeight="1">
      <c r="A52" s="34" t="s">
        <v>106</v>
      </c>
      <c r="B52" s="425" t="s">
        <v>493</v>
      </c>
      <c r="C52" s="425"/>
      <c r="D52" s="425"/>
      <c r="E52" s="158" t="s">
        <v>269</v>
      </c>
      <c r="F52" s="158">
        <v>0.01</v>
      </c>
      <c r="G52" s="125">
        <v>11691.48</v>
      </c>
      <c r="H52" s="307"/>
      <c r="I52" s="307"/>
    </row>
    <row r="53" spans="1:9" ht="15" customHeight="1">
      <c r="A53" s="34" t="s">
        <v>107</v>
      </c>
      <c r="B53" s="425" t="s">
        <v>661</v>
      </c>
      <c r="C53" s="425"/>
      <c r="D53" s="425"/>
      <c r="E53" s="158" t="s">
        <v>173</v>
      </c>
      <c r="F53" s="158">
        <v>1</v>
      </c>
      <c r="G53" s="125">
        <v>1580.25</v>
      </c>
      <c r="H53" s="307"/>
      <c r="I53" s="307"/>
    </row>
    <row r="54" spans="1:9" ht="15" customHeight="1">
      <c r="A54" s="34" t="s">
        <v>120</v>
      </c>
      <c r="B54" s="425" t="s">
        <v>724</v>
      </c>
      <c r="C54" s="425"/>
      <c r="D54" s="425"/>
      <c r="E54" s="158" t="s">
        <v>173</v>
      </c>
      <c r="F54" s="158">
        <v>1</v>
      </c>
      <c r="G54" s="125">
        <v>3470</v>
      </c>
      <c r="H54" s="192"/>
      <c r="I54" s="192"/>
    </row>
    <row r="55" spans="1:9" ht="15" customHeight="1">
      <c r="A55" s="34" t="s">
        <v>121</v>
      </c>
      <c r="B55" s="425" t="s">
        <v>766</v>
      </c>
      <c r="C55" s="425"/>
      <c r="D55" s="425"/>
      <c r="E55" s="158" t="s">
        <v>173</v>
      </c>
      <c r="F55" s="158">
        <v>1</v>
      </c>
      <c r="G55" s="125">
        <v>12500</v>
      </c>
      <c r="H55" s="192"/>
      <c r="I55" s="192"/>
    </row>
    <row r="56" spans="1:9" ht="15" customHeight="1">
      <c r="A56" s="34" t="s">
        <v>122</v>
      </c>
      <c r="B56" s="425" t="s">
        <v>725</v>
      </c>
      <c r="C56" s="425"/>
      <c r="D56" s="425"/>
      <c r="E56" s="158" t="s">
        <v>173</v>
      </c>
      <c r="F56" s="158">
        <v>1</v>
      </c>
      <c r="G56" s="125">
        <v>650</v>
      </c>
      <c r="H56" s="192"/>
      <c r="I56" s="192"/>
    </row>
    <row r="57" spans="1:9" ht="15" customHeight="1">
      <c r="A57" s="34" t="s">
        <v>144</v>
      </c>
      <c r="B57" s="425" t="s">
        <v>726</v>
      </c>
      <c r="C57" s="425"/>
      <c r="D57" s="425"/>
      <c r="E57" s="158" t="s">
        <v>173</v>
      </c>
      <c r="F57" s="158">
        <v>1</v>
      </c>
      <c r="G57" s="125">
        <v>2090</v>
      </c>
      <c r="H57" s="192"/>
      <c r="I57" s="192"/>
    </row>
    <row r="58" spans="1:9" ht="15" customHeight="1">
      <c r="A58" s="34" t="s">
        <v>147</v>
      </c>
      <c r="B58" s="425" t="s">
        <v>727</v>
      </c>
      <c r="C58" s="425"/>
      <c r="D58" s="425"/>
      <c r="E58" s="158" t="s">
        <v>352</v>
      </c>
      <c r="F58" s="158">
        <v>0.39</v>
      </c>
      <c r="G58" s="125">
        <v>72117</v>
      </c>
      <c r="H58" s="192"/>
      <c r="I58" s="192"/>
    </row>
    <row r="59" spans="1:9" ht="15" customHeight="1">
      <c r="A59" s="34" t="s">
        <v>148</v>
      </c>
      <c r="B59" s="425" t="s">
        <v>728</v>
      </c>
      <c r="C59" s="425"/>
      <c r="D59" s="425"/>
      <c r="E59" s="158" t="s">
        <v>352</v>
      </c>
      <c r="F59" s="158">
        <v>1.19</v>
      </c>
      <c r="G59" s="125">
        <v>143898</v>
      </c>
      <c r="H59" s="192"/>
      <c r="I59" s="192"/>
    </row>
    <row r="60" spans="1:9" ht="15" customHeight="1">
      <c r="A60" s="34" t="s">
        <v>578</v>
      </c>
      <c r="B60" s="425" t="s">
        <v>729</v>
      </c>
      <c r="C60" s="425"/>
      <c r="D60" s="425"/>
      <c r="E60" s="158" t="s">
        <v>352</v>
      </c>
      <c r="F60" s="158">
        <v>1.32</v>
      </c>
      <c r="G60" s="125">
        <v>148435</v>
      </c>
      <c r="H60" s="192"/>
      <c r="I60" s="192"/>
    </row>
    <row r="61" spans="1:9" ht="15" customHeight="1">
      <c r="A61" s="34" t="s">
        <v>710</v>
      </c>
      <c r="B61" s="425" t="s">
        <v>730</v>
      </c>
      <c r="C61" s="425"/>
      <c r="D61" s="425"/>
      <c r="E61" s="158" t="s">
        <v>352</v>
      </c>
      <c r="F61" s="158">
        <v>0.3</v>
      </c>
      <c r="G61" s="125">
        <v>35519</v>
      </c>
      <c r="H61" s="192"/>
      <c r="I61" s="192"/>
    </row>
    <row r="62" spans="1:9" ht="15" customHeight="1">
      <c r="A62" s="34" t="s">
        <v>720</v>
      </c>
      <c r="B62" s="425" t="s">
        <v>731</v>
      </c>
      <c r="C62" s="425"/>
      <c r="D62" s="425"/>
      <c r="E62" s="158" t="s">
        <v>352</v>
      </c>
      <c r="F62" s="158">
        <v>0.53</v>
      </c>
      <c r="G62" s="125">
        <v>60568</v>
      </c>
      <c r="H62" s="192"/>
      <c r="I62" s="192"/>
    </row>
    <row r="63" spans="1:9" ht="15" customHeight="1">
      <c r="A63" s="34" t="s">
        <v>721</v>
      </c>
      <c r="B63" s="425" t="s">
        <v>732</v>
      </c>
      <c r="C63" s="425"/>
      <c r="D63" s="425"/>
      <c r="E63" s="158" t="s">
        <v>352</v>
      </c>
      <c r="F63" s="158">
        <v>0.4</v>
      </c>
      <c r="G63" s="125">
        <v>56306</v>
      </c>
      <c r="H63" s="192"/>
      <c r="I63" s="192"/>
    </row>
    <row r="64" spans="1:9" ht="15" customHeight="1">
      <c r="A64" s="34" t="s">
        <v>722</v>
      </c>
      <c r="B64" s="425" t="s">
        <v>733</v>
      </c>
      <c r="C64" s="425"/>
      <c r="D64" s="425"/>
      <c r="E64" s="158" t="s">
        <v>352</v>
      </c>
      <c r="F64" s="158">
        <v>0.88</v>
      </c>
      <c r="G64" s="125">
        <v>98793</v>
      </c>
      <c r="H64" s="307"/>
      <c r="I64" s="307"/>
    </row>
    <row r="65" spans="1:9" s="71" customFormat="1" ht="15">
      <c r="A65" s="34" t="s">
        <v>723</v>
      </c>
      <c r="B65" s="428" t="s">
        <v>207</v>
      </c>
      <c r="C65" s="428"/>
      <c r="D65" s="428"/>
      <c r="E65" s="202"/>
      <c r="F65" s="202"/>
      <c r="G65" s="125">
        <f>E27*1%</f>
        <v>3781.3537</v>
      </c>
      <c r="H65" s="307"/>
      <c r="I65" s="307"/>
    </row>
    <row r="66" s="71" customFormat="1" ht="15"/>
    <row r="67" spans="1:8" ht="15">
      <c r="A67" s="71" t="s">
        <v>55</v>
      </c>
      <c r="B67" s="71"/>
      <c r="C67" s="71" t="s">
        <v>49</v>
      </c>
      <c r="D67" s="71"/>
      <c r="E67" s="71"/>
      <c r="F67" s="71"/>
      <c r="G67" s="71" t="s">
        <v>93</v>
      </c>
      <c r="H67" s="71"/>
    </row>
    <row r="68" spans="1:8" ht="15">
      <c r="A68" s="71"/>
      <c r="B68" s="71"/>
      <c r="C68" s="71"/>
      <c r="D68" s="71"/>
      <c r="E68" s="71"/>
      <c r="F68" s="71"/>
      <c r="G68" s="132" t="s">
        <v>296</v>
      </c>
      <c r="H68" s="132"/>
    </row>
    <row r="69" spans="1:8" ht="15">
      <c r="A69" s="71" t="s">
        <v>50</v>
      </c>
      <c r="B69" s="71"/>
      <c r="C69" s="71"/>
      <c r="D69" s="71"/>
      <c r="E69" s="71"/>
      <c r="F69" s="71"/>
      <c r="G69" s="71"/>
      <c r="H69" s="71"/>
    </row>
    <row r="70" spans="1:8" ht="15">
      <c r="A70" s="71"/>
      <c r="B70" s="71"/>
      <c r="C70" s="134" t="s">
        <v>51</v>
      </c>
      <c r="D70" s="134"/>
      <c r="E70" s="71"/>
      <c r="F70" s="134"/>
      <c r="G70" s="134"/>
      <c r="H70" s="134"/>
    </row>
  </sheetData>
  <sheetProtection/>
  <mergeCells count="33">
    <mergeCell ref="B50:D50"/>
    <mergeCell ref="B46:D46"/>
    <mergeCell ref="B47:D47"/>
    <mergeCell ref="B48:D48"/>
    <mergeCell ref="B65:D65"/>
    <mergeCell ref="B51:D51"/>
    <mergeCell ref="B52:D52"/>
    <mergeCell ref="B64:D64"/>
    <mergeCell ref="B53:D53"/>
    <mergeCell ref="B60:D60"/>
    <mergeCell ref="A36:C36"/>
    <mergeCell ref="A40:B40"/>
    <mergeCell ref="A41:B42"/>
    <mergeCell ref="B49:D49"/>
    <mergeCell ref="B45:D45"/>
    <mergeCell ref="A43:G43"/>
    <mergeCell ref="A12:I12"/>
    <mergeCell ref="A13:C13"/>
    <mergeCell ref="A11:I11"/>
    <mergeCell ref="A1:I1"/>
    <mergeCell ref="A2:I2"/>
    <mergeCell ref="A3:K3"/>
    <mergeCell ref="A5:I5"/>
    <mergeCell ref="A10:I10"/>
    <mergeCell ref="B61:D61"/>
    <mergeCell ref="B62:D62"/>
    <mergeCell ref="B63:D63"/>
    <mergeCell ref="B54:D54"/>
    <mergeCell ref="B55:D55"/>
    <mergeCell ref="B56:D56"/>
    <mergeCell ref="B57:D57"/>
    <mergeCell ref="B58:D58"/>
    <mergeCell ref="B59:D59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7030A0"/>
  </sheetPr>
  <dimension ref="A1:M58"/>
  <sheetViews>
    <sheetView zoomScalePageLayoutView="0" workbookViewId="0" topLeftCell="A26">
      <selection activeCell="G38" sqref="G38"/>
    </sheetView>
  </sheetViews>
  <sheetFormatPr defaultColWidth="9.140625" defaultRowHeight="15" outlineLevelCol="1"/>
  <cols>
    <col min="1" max="1" width="6.28125" style="35" customWidth="1"/>
    <col min="2" max="2" width="44.140625" style="35" customWidth="1"/>
    <col min="3" max="3" width="13.00390625" style="35" customWidth="1"/>
    <col min="4" max="4" width="16.7109375" style="35" customWidth="1"/>
    <col min="5" max="5" width="12.7109375" style="35" customWidth="1"/>
    <col min="6" max="6" width="15.00390625" style="35" customWidth="1"/>
    <col min="7" max="7" width="14.00390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00390625" style="249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15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6" s="71" customFormat="1" ht="15">
      <c r="A7" s="71" t="s">
        <v>2</v>
      </c>
      <c r="F7" s="132" t="s">
        <v>139</v>
      </c>
    </row>
    <row r="8" spans="1:9" s="71" customFormat="1" ht="15">
      <c r="A8" s="71" t="s">
        <v>3</v>
      </c>
      <c r="F8" s="132" t="s">
        <v>494</v>
      </c>
      <c r="H8" s="175">
        <v>111.9</v>
      </c>
      <c r="I8" s="250">
        <f>9268.1+111.9</f>
        <v>9380</v>
      </c>
    </row>
    <row r="9" s="71" customFormat="1" ht="15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5.75" thickBot="1">
      <c r="A13" s="319" t="s">
        <v>419</v>
      </c>
      <c r="B13" s="320"/>
      <c r="C13" s="320"/>
      <c r="D13" s="51">
        <v>481456.02</v>
      </c>
      <c r="E13" s="70"/>
      <c r="F13" s="70"/>
      <c r="G13" s="70"/>
      <c r="H13" s="66"/>
      <c r="I13" s="66"/>
    </row>
    <row r="14" spans="1:9" s="71" customFormat="1" ht="15.75" thickBot="1">
      <c r="A14" s="72"/>
      <c r="B14" s="72"/>
      <c r="C14" s="72"/>
      <c r="D14" s="233"/>
      <c r="E14" s="70"/>
      <c r="F14" s="70"/>
      <c r="G14" s="70"/>
      <c r="H14" s="66"/>
      <c r="I14" s="66"/>
    </row>
    <row r="15" spans="1:9" s="71" customFormat="1" ht="15.75" thickBot="1">
      <c r="A15" s="67" t="s">
        <v>514</v>
      </c>
      <c r="B15" s="68"/>
      <c r="C15" s="68"/>
      <c r="D15" s="73"/>
      <c r="E15" s="74"/>
      <c r="F15" s="74"/>
      <c r="G15" s="69">
        <f>'[1]Солнечный б-р 4'!$G$38</f>
        <v>78575.59410000002</v>
      </c>
      <c r="H15" s="66"/>
      <c r="I15" s="66"/>
    </row>
    <row r="16" s="71" customFormat="1" ht="15"/>
    <row r="17" spans="1:7" s="78" customFormat="1" ht="38.25">
      <c r="A17" s="76" t="s">
        <v>11</v>
      </c>
      <c r="B17" s="76" t="s">
        <v>12</v>
      </c>
      <c r="C17" s="76" t="s">
        <v>94</v>
      </c>
      <c r="D17" s="76" t="s">
        <v>466</v>
      </c>
      <c r="E17" s="76" t="s">
        <v>284</v>
      </c>
      <c r="F17" s="77" t="s">
        <v>298</v>
      </c>
      <c r="G17" s="76" t="s">
        <v>299</v>
      </c>
    </row>
    <row r="18" spans="1:12" s="175" customFormat="1" ht="28.5">
      <c r="A18" s="79" t="s">
        <v>14</v>
      </c>
      <c r="B18" s="41" t="s">
        <v>15</v>
      </c>
      <c r="C18" s="101">
        <f>SUM(C19:C23)</f>
        <v>13.32</v>
      </c>
      <c r="D18" s="80">
        <v>1479831.96</v>
      </c>
      <c r="E18" s="80">
        <v>1464889.8</v>
      </c>
      <c r="F18" s="80">
        <f aca="true" t="shared" si="0" ref="F18:F26">D18</f>
        <v>1479831.96</v>
      </c>
      <c r="G18" s="81">
        <f aca="true" t="shared" si="1" ref="G18:G28">E18-D18</f>
        <v>-14942.159999999916</v>
      </c>
      <c r="H18" s="142">
        <f aca="true" t="shared" si="2" ref="H18:H23">C18</f>
        <v>13.32</v>
      </c>
      <c r="L18" s="175">
        <f>D18/12/C18</f>
        <v>9258.207957957959</v>
      </c>
    </row>
    <row r="19" spans="1:9" s="71" customFormat="1" ht="15">
      <c r="A19" s="85" t="s">
        <v>16</v>
      </c>
      <c r="B19" s="34" t="s">
        <v>17</v>
      </c>
      <c r="C19" s="86">
        <v>3.34</v>
      </c>
      <c r="D19" s="87">
        <f>D18*I19</f>
        <v>371068.974954955</v>
      </c>
      <c r="E19" s="87">
        <f>E18*I19</f>
        <v>367322.21711711714</v>
      </c>
      <c r="F19" s="87">
        <f t="shared" si="0"/>
        <v>371068.974954955</v>
      </c>
      <c r="G19" s="88">
        <f t="shared" si="1"/>
        <v>-3746.757837837853</v>
      </c>
      <c r="H19" s="82">
        <f t="shared" si="2"/>
        <v>3.34</v>
      </c>
      <c r="I19" s="71">
        <f>H19/H18</f>
        <v>0.25075075075075076</v>
      </c>
    </row>
    <row r="20" spans="1:9" s="71" customFormat="1" ht="15">
      <c r="A20" s="85" t="s">
        <v>18</v>
      </c>
      <c r="B20" s="34" t="s">
        <v>19</v>
      </c>
      <c r="C20" s="86">
        <v>1.63</v>
      </c>
      <c r="D20" s="87">
        <f>D18*I20</f>
        <v>181090.54765765765</v>
      </c>
      <c r="E20" s="87">
        <f>E18*I20</f>
        <v>179262.04009009007</v>
      </c>
      <c r="F20" s="87">
        <f t="shared" si="0"/>
        <v>181090.54765765765</v>
      </c>
      <c r="G20" s="88">
        <f t="shared" si="1"/>
        <v>-1828.5075675675762</v>
      </c>
      <c r="H20" s="82">
        <f t="shared" si="2"/>
        <v>1.63</v>
      </c>
      <c r="I20" s="71">
        <f>H20/H18</f>
        <v>0.12237237237237236</v>
      </c>
    </row>
    <row r="21" spans="1:9" s="71" customFormat="1" ht="15">
      <c r="A21" s="85" t="s">
        <v>20</v>
      </c>
      <c r="B21" s="34" t="s">
        <v>21</v>
      </c>
      <c r="C21" s="86">
        <v>1.92</v>
      </c>
      <c r="D21" s="87">
        <f>D18*I21</f>
        <v>213309.11135135134</v>
      </c>
      <c r="E21" s="87">
        <f>E18*I21</f>
        <v>211155.2864864865</v>
      </c>
      <c r="F21" s="87">
        <f t="shared" si="0"/>
        <v>213309.11135135134</v>
      </c>
      <c r="G21" s="88">
        <f t="shared" si="1"/>
        <v>-2153.824864864844</v>
      </c>
      <c r="H21" s="82">
        <f t="shared" si="2"/>
        <v>1.92</v>
      </c>
      <c r="I21" s="71">
        <f>H21/H18</f>
        <v>0.14414414414414414</v>
      </c>
    </row>
    <row r="22" spans="1:9" s="71" customFormat="1" ht="15">
      <c r="A22" s="85" t="s">
        <v>22</v>
      </c>
      <c r="B22" s="34" t="s">
        <v>23</v>
      </c>
      <c r="C22" s="86">
        <v>2.93</v>
      </c>
      <c r="D22" s="87">
        <f>D18*I22</f>
        <v>325518.5918018018</v>
      </c>
      <c r="E22" s="87">
        <f>E18*I22</f>
        <v>322231.76531531534</v>
      </c>
      <c r="F22" s="87">
        <f t="shared" si="0"/>
        <v>325518.5918018018</v>
      </c>
      <c r="G22" s="88">
        <f t="shared" si="1"/>
        <v>-3286.826486486476</v>
      </c>
      <c r="H22" s="82">
        <f t="shared" si="2"/>
        <v>2.93</v>
      </c>
      <c r="I22" s="71">
        <f>H22/H18</f>
        <v>0.21996996996996998</v>
      </c>
    </row>
    <row r="23" spans="1:9" s="71" customFormat="1" ht="15">
      <c r="A23" s="85" t="s">
        <v>24</v>
      </c>
      <c r="B23" s="34" t="s">
        <v>149</v>
      </c>
      <c r="C23" s="86">
        <v>3.5</v>
      </c>
      <c r="D23" s="87">
        <f>D18*I23</f>
        <v>388844.73423423426</v>
      </c>
      <c r="E23" s="87">
        <f>E18*I23</f>
        <v>384918.490990991</v>
      </c>
      <c r="F23" s="87">
        <f>D23</f>
        <v>388844.73423423426</v>
      </c>
      <c r="G23" s="88">
        <f>E23-D23</f>
        <v>-3926.2432432432543</v>
      </c>
      <c r="H23" s="82">
        <f t="shared" si="2"/>
        <v>3.5</v>
      </c>
      <c r="I23" s="71">
        <f>H23/H18</f>
        <v>0.2627627627627628</v>
      </c>
    </row>
    <row r="24" spans="1:13" s="39" customFormat="1" ht="15">
      <c r="A24" s="41" t="s">
        <v>25</v>
      </c>
      <c r="B24" s="41" t="s">
        <v>26</v>
      </c>
      <c r="C24" s="101">
        <v>3.72</v>
      </c>
      <c r="D24" s="81">
        <v>415895.29</v>
      </c>
      <c r="E24" s="81">
        <v>419513.95</v>
      </c>
      <c r="F24" s="80">
        <f t="shared" si="0"/>
        <v>415895.29</v>
      </c>
      <c r="G24" s="81">
        <f t="shared" si="1"/>
        <v>3618.6600000000326</v>
      </c>
      <c r="M24" s="251"/>
    </row>
    <row r="25" spans="1:13" s="39" customFormat="1" ht="15">
      <c r="A25" s="41" t="s">
        <v>27</v>
      </c>
      <c r="B25" s="41" t="s">
        <v>28</v>
      </c>
      <c r="C25" s="101"/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  <c r="M25" s="251"/>
    </row>
    <row r="26" spans="1:13" s="39" customFormat="1" ht="15">
      <c r="A26" s="41" t="s">
        <v>29</v>
      </c>
      <c r="B26" s="41" t="s">
        <v>30</v>
      </c>
      <c r="C26" s="101">
        <v>0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  <c r="M26" s="251"/>
    </row>
    <row r="27" spans="1:13" s="39" customFormat="1" ht="15">
      <c r="A27" s="41" t="s">
        <v>31</v>
      </c>
      <c r="B27" s="41" t="s">
        <v>119</v>
      </c>
      <c r="C27" s="101">
        <v>1.99</v>
      </c>
      <c r="D27" s="81">
        <v>221321.28</v>
      </c>
      <c r="E27" s="81">
        <v>223320</v>
      </c>
      <c r="F27" s="91">
        <f>G45</f>
        <v>127516.91000000002</v>
      </c>
      <c r="G27" s="81">
        <f t="shared" si="1"/>
        <v>1998.7200000000012</v>
      </c>
      <c r="M27" s="254"/>
    </row>
    <row r="28" spans="1:13" s="39" customFormat="1" ht="15">
      <c r="A28" s="41" t="s">
        <v>33</v>
      </c>
      <c r="B28" s="41" t="s">
        <v>170</v>
      </c>
      <c r="C28" s="46">
        <v>0</v>
      </c>
      <c r="D28" s="81">
        <v>0</v>
      </c>
      <c r="E28" s="81">
        <v>0</v>
      </c>
      <c r="F28" s="91">
        <f>D28</f>
        <v>0</v>
      </c>
      <c r="G28" s="81">
        <f t="shared" si="1"/>
        <v>0</v>
      </c>
      <c r="M28" s="251"/>
    </row>
    <row r="29" spans="1:13" s="39" customFormat="1" ht="15">
      <c r="A29" s="41" t="s">
        <v>35</v>
      </c>
      <c r="B29" s="41" t="s">
        <v>36</v>
      </c>
      <c r="C29" s="101">
        <f>SUM(C30:C33)</f>
        <v>0</v>
      </c>
      <c r="D29" s="81">
        <f>SUM(D30:D33)</f>
        <v>5169228.960000001</v>
      </c>
      <c r="E29" s="81">
        <f>SUM(E30:E33)</f>
        <v>5282118.42</v>
      </c>
      <c r="F29" s="81">
        <f>SUM(F30:F33)</f>
        <v>5169228.960000001</v>
      </c>
      <c r="G29" s="81">
        <f>SUM(G30:G33)</f>
        <v>112889.45999999985</v>
      </c>
      <c r="M29" s="251"/>
    </row>
    <row r="30" spans="1:7" ht="15">
      <c r="A30" s="34" t="s">
        <v>37</v>
      </c>
      <c r="B30" s="34" t="s">
        <v>184</v>
      </c>
      <c r="C30" s="236" t="s">
        <v>323</v>
      </c>
      <c r="D30" s="88">
        <v>1278013.05</v>
      </c>
      <c r="E30" s="88">
        <v>1306874.67</v>
      </c>
      <c r="F30" s="88">
        <f>D30</f>
        <v>1278013.05</v>
      </c>
      <c r="G30" s="88">
        <f>E30-D30</f>
        <v>28861.61999999988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613176.44</v>
      </c>
      <c r="E31" s="88">
        <v>648408.17</v>
      </c>
      <c r="F31" s="88">
        <f>D31</f>
        <v>613176.44</v>
      </c>
      <c r="G31" s="88">
        <f>E31-D31</f>
        <v>35231.7300000001</v>
      </c>
    </row>
    <row r="32" spans="1:7" ht="15">
      <c r="A32" s="34" t="s">
        <v>42</v>
      </c>
      <c r="B32" s="34" t="s">
        <v>143</v>
      </c>
      <c r="C32" s="149" t="s">
        <v>488</v>
      </c>
      <c r="D32" s="88">
        <v>1024173</v>
      </c>
      <c r="E32" s="88">
        <v>1048051.25</v>
      </c>
      <c r="F32" s="88">
        <f>D32</f>
        <v>1024173</v>
      </c>
      <c r="G32" s="88">
        <f>E32-D32</f>
        <v>23878.25</v>
      </c>
    </row>
    <row r="33" spans="1:7" ht="15">
      <c r="A33" s="34" t="s">
        <v>41</v>
      </c>
      <c r="B33" s="34" t="s">
        <v>43</v>
      </c>
      <c r="C33" s="103" t="s">
        <v>482</v>
      </c>
      <c r="D33" s="88">
        <v>2253866.47</v>
      </c>
      <c r="E33" s="88">
        <v>2278784.33</v>
      </c>
      <c r="F33" s="88">
        <f>D33</f>
        <v>2253866.47</v>
      </c>
      <c r="G33" s="88">
        <f>E33-D33</f>
        <v>24917.85999999987</v>
      </c>
    </row>
    <row r="34" spans="1:13" s="47" customFormat="1" ht="15">
      <c r="A34" s="56" t="s">
        <v>230</v>
      </c>
      <c r="B34" s="204" t="s">
        <v>641</v>
      </c>
      <c r="C34" s="57"/>
      <c r="D34" s="57">
        <v>22800</v>
      </c>
      <c r="E34" s="57">
        <f>3000+1540+2860+10800+2800</f>
        <v>21000</v>
      </c>
      <c r="F34" s="57">
        <v>0</v>
      </c>
      <c r="G34" s="57">
        <f>E34-D34</f>
        <v>-1800</v>
      </c>
      <c r="M34" s="48"/>
    </row>
    <row r="35" spans="1:10" s="106" customFormat="1" ht="9" customHeight="1" thickBot="1">
      <c r="A35" s="108"/>
      <c r="B35" s="108"/>
      <c r="C35" s="108"/>
      <c r="D35" s="105"/>
      <c r="E35" s="105"/>
      <c r="F35" s="105"/>
      <c r="G35" s="105"/>
      <c r="H35" s="105"/>
      <c r="I35" s="105"/>
      <c r="J35" s="105"/>
    </row>
    <row r="36" spans="1:9" s="71" customFormat="1" ht="15.75" thickBot="1">
      <c r="A36" s="319" t="s">
        <v>420</v>
      </c>
      <c r="B36" s="320"/>
      <c r="C36" s="320"/>
      <c r="D36" s="69">
        <f>D13+D18+D24+D25+D26+D27+D28+D29-E18-E24-E25-E26-E27-E28-E29</f>
        <v>377891.3400000008</v>
      </c>
      <c r="E36" s="70"/>
      <c r="F36" s="70"/>
      <c r="G36" s="70"/>
      <c r="H36" s="66"/>
      <c r="I36" s="66"/>
    </row>
    <row r="37" spans="1:9" s="71" customFormat="1" ht="8.25" customHeight="1" thickBot="1">
      <c r="A37" s="72"/>
      <c r="B37" s="72"/>
      <c r="C37" s="72"/>
      <c r="D37" s="40"/>
      <c r="E37" s="70"/>
      <c r="F37" s="70"/>
      <c r="G37" s="70"/>
      <c r="H37" s="66"/>
      <c r="I37" s="66"/>
    </row>
    <row r="38" spans="1:13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G15+E27-F27</f>
        <v>174378.68409999995</v>
      </c>
      <c r="H38" s="66"/>
      <c r="I38" s="66"/>
      <c r="M38" s="152"/>
    </row>
    <row r="39" spans="1:9" s="71" customFormat="1" ht="15">
      <c r="A39" s="418" t="s">
        <v>150</v>
      </c>
      <c r="B39" s="418"/>
      <c r="C39" s="72"/>
      <c r="D39" s="40"/>
      <c r="E39" s="70"/>
      <c r="F39" s="70"/>
      <c r="G39" s="40"/>
      <c r="H39" s="66"/>
      <c r="I39" s="66"/>
    </row>
    <row r="40" spans="1:9" s="71" customFormat="1" ht="15">
      <c r="A40" s="419" t="s">
        <v>151</v>
      </c>
      <c r="B40" s="420"/>
      <c r="C40" s="44" t="s">
        <v>152</v>
      </c>
      <c r="D40" s="44" t="s">
        <v>153</v>
      </c>
      <c r="E40" s="45" t="s">
        <v>154</v>
      </c>
      <c r="F40" s="42" t="s">
        <v>155</v>
      </c>
      <c r="G40" s="45" t="s">
        <v>156</v>
      </c>
      <c r="H40" s="209"/>
      <c r="I40" s="209"/>
    </row>
    <row r="41" spans="1:9" s="71" customFormat="1" ht="15">
      <c r="A41" s="421"/>
      <c r="B41" s="422"/>
      <c r="C41" s="240">
        <v>111.9</v>
      </c>
      <c r="D41" s="160">
        <f>E41/12/C41</f>
        <v>15.530026809651476</v>
      </c>
      <c r="E41" s="255">
        <v>20853.72</v>
      </c>
      <c r="F41" s="255">
        <v>20761.96</v>
      </c>
      <c r="G41" s="160">
        <f>E41-F41</f>
        <v>91.76000000000204</v>
      </c>
      <c r="H41" s="209"/>
      <c r="I41" s="209"/>
    </row>
    <row r="42" spans="1:9" ht="35.25" customHeight="1">
      <c r="A42" s="372" t="s">
        <v>44</v>
      </c>
      <c r="B42" s="423"/>
      <c r="C42" s="423"/>
      <c r="D42" s="423"/>
      <c r="E42" s="423"/>
      <c r="F42" s="423"/>
      <c r="G42" s="423"/>
      <c r="H42" s="210"/>
      <c r="I42" s="210"/>
    </row>
    <row r="43" ht="9" customHeight="1"/>
    <row r="44" spans="1:9" s="179" customFormat="1" ht="28.5" customHeight="1">
      <c r="A44" s="109" t="s">
        <v>11</v>
      </c>
      <c r="B44" s="426" t="s">
        <v>45</v>
      </c>
      <c r="C44" s="426"/>
      <c r="D44" s="426"/>
      <c r="E44" s="109" t="s">
        <v>172</v>
      </c>
      <c r="F44" s="109" t="s">
        <v>171</v>
      </c>
      <c r="G44" s="109" t="s">
        <v>46</v>
      </c>
      <c r="H44" s="256"/>
      <c r="I44" s="118"/>
    </row>
    <row r="45" spans="1:9" s="119" customFormat="1" ht="15">
      <c r="A45" s="113" t="s">
        <v>47</v>
      </c>
      <c r="B45" s="427" t="s">
        <v>114</v>
      </c>
      <c r="C45" s="427"/>
      <c r="D45" s="427"/>
      <c r="E45" s="180"/>
      <c r="F45" s="180"/>
      <c r="G45" s="116">
        <f>SUM(G46:I53)</f>
        <v>127516.91000000002</v>
      </c>
      <c r="H45" s="257"/>
      <c r="I45" s="118"/>
    </row>
    <row r="46" spans="1:9" ht="15" customHeight="1">
      <c r="A46" s="34" t="s">
        <v>16</v>
      </c>
      <c r="B46" s="425" t="s">
        <v>501</v>
      </c>
      <c r="C46" s="425"/>
      <c r="D46" s="425"/>
      <c r="E46" s="158" t="s">
        <v>269</v>
      </c>
      <c r="F46" s="158">
        <v>0.01</v>
      </c>
      <c r="G46" s="125">
        <v>621.78</v>
      </c>
      <c r="H46" s="192"/>
      <c r="I46" s="192"/>
    </row>
    <row r="47" spans="1:9" ht="15" customHeight="1">
      <c r="A47" s="34" t="s">
        <v>18</v>
      </c>
      <c r="B47" s="425" t="s">
        <v>495</v>
      </c>
      <c r="C47" s="425"/>
      <c r="D47" s="425"/>
      <c r="E47" s="158" t="s">
        <v>269</v>
      </c>
      <c r="F47" s="158">
        <v>0.01</v>
      </c>
      <c r="G47" s="125">
        <v>550.95</v>
      </c>
      <c r="H47" s="192"/>
      <c r="I47" s="192"/>
    </row>
    <row r="48" spans="1:9" ht="15" customHeight="1">
      <c r="A48" s="34" t="s">
        <v>20</v>
      </c>
      <c r="B48" s="425" t="s">
        <v>496</v>
      </c>
      <c r="C48" s="425"/>
      <c r="D48" s="425"/>
      <c r="E48" s="158" t="s">
        <v>269</v>
      </c>
      <c r="F48" s="158">
        <v>0.04</v>
      </c>
      <c r="G48" s="125">
        <v>2910.5</v>
      </c>
      <c r="H48" s="192"/>
      <c r="I48" s="192"/>
    </row>
    <row r="49" spans="1:9" ht="15" customHeight="1">
      <c r="A49" s="34" t="s">
        <v>22</v>
      </c>
      <c r="B49" s="425" t="s">
        <v>497</v>
      </c>
      <c r="C49" s="425"/>
      <c r="D49" s="425"/>
      <c r="E49" s="158" t="s">
        <v>269</v>
      </c>
      <c r="F49" s="158">
        <v>0.01</v>
      </c>
      <c r="G49" s="125">
        <v>6008.81</v>
      </c>
      <c r="H49" s="192"/>
      <c r="I49" s="192"/>
    </row>
    <row r="50" spans="1:9" ht="15">
      <c r="A50" s="34" t="s">
        <v>24</v>
      </c>
      <c r="B50" s="425" t="s">
        <v>500</v>
      </c>
      <c r="C50" s="425"/>
      <c r="D50" s="425"/>
      <c r="E50" s="158" t="s">
        <v>173</v>
      </c>
      <c r="F50" s="158">
        <v>1</v>
      </c>
      <c r="G50" s="125">
        <v>95183.57</v>
      </c>
      <c r="H50" s="192"/>
      <c r="I50" s="192"/>
    </row>
    <row r="51" spans="1:9" ht="15" customHeight="1">
      <c r="A51" s="34" t="s">
        <v>106</v>
      </c>
      <c r="B51" s="425" t="s">
        <v>498</v>
      </c>
      <c r="C51" s="425"/>
      <c r="D51" s="425"/>
      <c r="E51" s="158" t="s">
        <v>173</v>
      </c>
      <c r="F51" s="158">
        <v>3</v>
      </c>
      <c r="G51" s="125">
        <v>3987</v>
      </c>
      <c r="H51" s="192"/>
      <c r="I51" s="192"/>
    </row>
    <row r="52" spans="1:9" ht="15" customHeight="1">
      <c r="A52" s="34" t="s">
        <v>107</v>
      </c>
      <c r="B52" s="425" t="s">
        <v>499</v>
      </c>
      <c r="C52" s="425"/>
      <c r="D52" s="425"/>
      <c r="E52" s="158" t="s">
        <v>269</v>
      </c>
      <c r="F52" s="158">
        <v>0.01</v>
      </c>
      <c r="G52" s="125">
        <v>16021.1</v>
      </c>
      <c r="H52" s="192"/>
      <c r="I52" s="192"/>
    </row>
    <row r="53" spans="1:9" s="71" customFormat="1" ht="15">
      <c r="A53" s="34" t="s">
        <v>120</v>
      </c>
      <c r="B53" s="428" t="s">
        <v>207</v>
      </c>
      <c r="C53" s="428"/>
      <c r="D53" s="428"/>
      <c r="E53" s="202"/>
      <c r="F53" s="202"/>
      <c r="G53" s="125">
        <f>E27*1%</f>
        <v>2233.2000000000003</v>
      </c>
      <c r="H53" s="192"/>
      <c r="I53" s="192"/>
    </row>
    <row r="54" s="71" customFormat="1" ht="15"/>
    <row r="55" spans="1:7" s="71" customFormat="1" ht="15">
      <c r="A55" s="71" t="s">
        <v>55</v>
      </c>
      <c r="C55" s="71" t="s">
        <v>49</v>
      </c>
      <c r="G55" s="71" t="s">
        <v>93</v>
      </c>
    </row>
    <row r="56" spans="1:8" ht="15">
      <c r="A56" s="71"/>
      <c r="B56" s="71"/>
      <c r="C56" s="71"/>
      <c r="D56" s="71"/>
      <c r="E56" s="71"/>
      <c r="F56" s="71"/>
      <c r="G56" s="132" t="s">
        <v>296</v>
      </c>
      <c r="H56" s="132"/>
    </row>
    <row r="57" spans="1:8" ht="15">
      <c r="A57" s="71" t="s">
        <v>50</v>
      </c>
      <c r="B57" s="71"/>
      <c r="C57" s="71"/>
      <c r="D57" s="71"/>
      <c r="E57" s="71"/>
      <c r="F57" s="71"/>
      <c r="G57" s="71"/>
      <c r="H57" s="71"/>
    </row>
    <row r="58" spans="1:8" ht="15">
      <c r="A58" s="71"/>
      <c r="B58" s="71"/>
      <c r="C58" s="134" t="s">
        <v>51</v>
      </c>
      <c r="D58" s="134"/>
      <c r="E58" s="71"/>
      <c r="F58" s="134"/>
      <c r="G58" s="134"/>
      <c r="H58" s="134"/>
    </row>
  </sheetData>
  <sheetProtection/>
  <mergeCells count="22">
    <mergeCell ref="B53:D53"/>
    <mergeCell ref="B51:D51"/>
    <mergeCell ref="B52:D52"/>
    <mergeCell ref="B45:D45"/>
    <mergeCell ref="B46:D46"/>
    <mergeCell ref="B47:D47"/>
    <mergeCell ref="B48:D48"/>
    <mergeCell ref="B49:D49"/>
    <mergeCell ref="B50:D50"/>
    <mergeCell ref="A12:I12"/>
    <mergeCell ref="A13:C13"/>
    <mergeCell ref="A36:C36"/>
    <mergeCell ref="B44:D44"/>
    <mergeCell ref="A39:B39"/>
    <mergeCell ref="A40:B41"/>
    <mergeCell ref="A42:G42"/>
    <mergeCell ref="A11:I11"/>
    <mergeCell ref="A1:I1"/>
    <mergeCell ref="A2:I2"/>
    <mergeCell ref="A3:K3"/>
    <mergeCell ref="A5:I5"/>
    <mergeCell ref="A10:I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7030A0"/>
  </sheetPr>
  <dimension ref="A1:M55"/>
  <sheetViews>
    <sheetView zoomScalePageLayoutView="0" workbookViewId="0" topLeftCell="A19">
      <selection activeCell="G39" sqref="G39"/>
    </sheetView>
  </sheetViews>
  <sheetFormatPr defaultColWidth="9.140625" defaultRowHeight="15" outlineLevelCol="1"/>
  <cols>
    <col min="1" max="1" width="5.00390625" style="35" customWidth="1"/>
    <col min="2" max="2" width="49.57421875" style="35" customWidth="1"/>
    <col min="3" max="3" width="15.8515625" style="35" customWidth="1"/>
    <col min="4" max="5" width="12.7109375" style="35" customWidth="1"/>
    <col min="6" max="6" width="15.00390625" style="35" customWidth="1"/>
    <col min="7" max="7" width="14.851562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249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15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6" s="71" customFormat="1" ht="15">
      <c r="A7" s="71" t="s">
        <v>2</v>
      </c>
      <c r="F7" s="132" t="s">
        <v>502</v>
      </c>
    </row>
    <row r="8" spans="1:9" s="71" customFormat="1" ht="15">
      <c r="A8" s="71" t="s">
        <v>3</v>
      </c>
      <c r="F8" s="132" t="s">
        <v>503</v>
      </c>
      <c r="I8" s="213">
        <f>2275.97+C42</f>
        <v>2509.37</v>
      </c>
    </row>
    <row r="9" s="71" customFormat="1" ht="15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5.75" thickBot="1">
      <c r="A13" s="319" t="s">
        <v>419</v>
      </c>
      <c r="B13" s="320"/>
      <c r="C13" s="320"/>
      <c r="D13" s="51">
        <v>282645.51</v>
      </c>
      <c r="E13" s="70"/>
      <c r="F13" s="70"/>
      <c r="G13" s="70"/>
      <c r="H13" s="66"/>
      <c r="I13" s="66"/>
    </row>
    <row r="14" spans="1:9" s="71" customFormat="1" ht="15.75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514</v>
      </c>
      <c r="B15" s="68"/>
      <c r="C15" s="68"/>
      <c r="D15" s="73"/>
      <c r="E15" s="74"/>
      <c r="F15" s="74"/>
      <c r="G15" s="69">
        <f>'[1]Солнечный б-р 4-1'!$G$38</f>
        <v>49716.2367</v>
      </c>
      <c r="H15" s="66"/>
      <c r="I15" s="66"/>
    </row>
    <row r="16" spans="1:9" s="71" customFormat="1" ht="15.75" thickBot="1">
      <c r="A16" s="67" t="s">
        <v>556</v>
      </c>
      <c r="B16" s="68"/>
      <c r="C16" s="68"/>
      <c r="D16" s="73"/>
      <c r="E16" s="74"/>
      <c r="F16" s="74"/>
      <c r="G16" s="151">
        <f>'[1]Солнечный б-р 4-1'!$G$37</f>
        <v>-5385.98</v>
      </c>
      <c r="H16" s="66"/>
      <c r="I16" s="66"/>
    </row>
    <row r="17" s="71" customFormat="1" ht="15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466</v>
      </c>
      <c r="E18" s="76" t="s">
        <v>284</v>
      </c>
      <c r="F18" s="77" t="s">
        <v>298</v>
      </c>
      <c r="G18" s="76" t="s">
        <v>299</v>
      </c>
    </row>
    <row r="19" spans="1:8" s="175" customFormat="1" ht="14.25">
      <c r="A19" s="79" t="s">
        <v>14</v>
      </c>
      <c r="B19" s="41" t="s">
        <v>15</v>
      </c>
      <c r="C19" s="101">
        <f>SUM(C20:C24)</f>
        <v>13.469999999999999</v>
      </c>
      <c r="D19" s="80">
        <v>368043.6</v>
      </c>
      <c r="E19" s="80">
        <v>315523.04</v>
      </c>
      <c r="F19" s="80">
        <f aca="true" t="shared" si="0" ref="F19:F27">D19</f>
        <v>368043.6</v>
      </c>
      <c r="G19" s="81">
        <f>E19-D19</f>
        <v>-52520.56</v>
      </c>
      <c r="H19" s="82">
        <f aca="true" t="shared" si="1" ref="H19:H24">C19</f>
        <v>13.469999999999999</v>
      </c>
    </row>
    <row r="20" spans="1:9" s="71" customFormat="1" ht="15">
      <c r="A20" s="85" t="s">
        <v>16</v>
      </c>
      <c r="B20" s="34" t="s">
        <v>17</v>
      </c>
      <c r="C20" s="86">
        <v>3.34</v>
      </c>
      <c r="D20" s="87">
        <f>D19*I20</f>
        <v>91259.51180400891</v>
      </c>
      <c r="E20" s="87">
        <f>E19*I20</f>
        <v>78236.59640683</v>
      </c>
      <c r="F20" s="87">
        <f t="shared" si="0"/>
        <v>91259.51180400891</v>
      </c>
      <c r="G20" s="88">
        <f aca="true" t="shared" si="2" ref="G20:G30">E20-D20</f>
        <v>-13022.91539717892</v>
      </c>
      <c r="H20" s="82">
        <f t="shared" si="1"/>
        <v>3.34</v>
      </c>
      <c r="I20" s="71">
        <f>H20/H19</f>
        <v>0.24795842613214553</v>
      </c>
    </row>
    <row r="21" spans="1:9" s="71" customFormat="1" ht="15">
      <c r="A21" s="85" t="s">
        <v>18</v>
      </c>
      <c r="B21" s="34" t="s">
        <v>19</v>
      </c>
      <c r="C21" s="89">
        <v>1.63</v>
      </c>
      <c r="D21" s="87">
        <f>D19*I21</f>
        <v>44536.8276169265</v>
      </c>
      <c r="E21" s="87">
        <f>E19*I21</f>
        <v>38181.33297698589</v>
      </c>
      <c r="F21" s="87">
        <f t="shared" si="0"/>
        <v>44536.8276169265</v>
      </c>
      <c r="G21" s="88">
        <f t="shared" si="2"/>
        <v>-6355.494639940611</v>
      </c>
      <c r="H21" s="82">
        <f t="shared" si="1"/>
        <v>1.63</v>
      </c>
      <c r="I21" s="71">
        <f>H21/H19</f>
        <v>0.12100965107646622</v>
      </c>
    </row>
    <row r="22" spans="1:9" s="71" customFormat="1" ht="15">
      <c r="A22" s="85" t="s">
        <v>20</v>
      </c>
      <c r="B22" s="34" t="s">
        <v>21</v>
      </c>
      <c r="C22" s="86">
        <v>2.07</v>
      </c>
      <c r="D22" s="87">
        <f>D19*I22</f>
        <v>56559.038752783956</v>
      </c>
      <c r="E22" s="87">
        <f>E19*I22</f>
        <v>48487.95046770601</v>
      </c>
      <c r="F22" s="87">
        <f t="shared" si="0"/>
        <v>56559.038752783956</v>
      </c>
      <c r="G22" s="88">
        <f t="shared" si="2"/>
        <v>-8071.088285077945</v>
      </c>
      <c r="H22" s="82">
        <f t="shared" si="1"/>
        <v>2.07</v>
      </c>
      <c r="I22" s="71">
        <f>H22/H19</f>
        <v>0.15367483296213807</v>
      </c>
    </row>
    <row r="23" spans="1:9" s="71" customFormat="1" ht="15">
      <c r="A23" s="85" t="s">
        <v>22</v>
      </c>
      <c r="B23" s="34" t="s">
        <v>23</v>
      </c>
      <c r="C23" s="86">
        <v>2.93</v>
      </c>
      <c r="D23" s="87">
        <f>D19*I23</f>
        <v>80056.99688195992</v>
      </c>
      <c r="E23" s="87">
        <f>E19*I23</f>
        <v>68632.7028359317</v>
      </c>
      <c r="F23" s="87">
        <f t="shared" si="0"/>
        <v>80056.99688195992</v>
      </c>
      <c r="G23" s="88">
        <f t="shared" si="2"/>
        <v>-11424.294046028212</v>
      </c>
      <c r="H23" s="82">
        <f t="shared" si="1"/>
        <v>2.93</v>
      </c>
      <c r="I23" s="71">
        <f>H23/H19</f>
        <v>0.21752041573867859</v>
      </c>
    </row>
    <row r="24" spans="1:9" s="71" customFormat="1" ht="15">
      <c r="A24" s="85" t="s">
        <v>24</v>
      </c>
      <c r="B24" s="34" t="s">
        <v>275</v>
      </c>
      <c r="C24" s="86">
        <v>3.5</v>
      </c>
      <c r="D24" s="87">
        <f>D19*I24</f>
        <v>95631.22494432071</v>
      </c>
      <c r="E24" s="87">
        <f>E19*I24</f>
        <v>81984.4573125464</v>
      </c>
      <c r="F24" s="87">
        <f>D24</f>
        <v>95631.22494432071</v>
      </c>
      <c r="G24" s="88">
        <f>E24-D24</f>
        <v>-13646.767631774317</v>
      </c>
      <c r="H24" s="82">
        <f t="shared" si="1"/>
        <v>3.5</v>
      </c>
      <c r="I24" s="71">
        <f>H24/H19</f>
        <v>0.25983667409057165</v>
      </c>
    </row>
    <row r="25" spans="1:13" s="39" customFormat="1" ht="15">
      <c r="A25" s="41" t="s">
        <v>25</v>
      </c>
      <c r="B25" s="41" t="s">
        <v>26</v>
      </c>
      <c r="C25" s="101">
        <v>3.72</v>
      </c>
      <c r="D25" s="81">
        <v>101641.88</v>
      </c>
      <c r="E25" s="81">
        <v>99220.95</v>
      </c>
      <c r="F25" s="80">
        <f t="shared" si="0"/>
        <v>101641.88</v>
      </c>
      <c r="G25" s="81">
        <f t="shared" si="2"/>
        <v>-2420.9300000000076</v>
      </c>
      <c r="M25" s="251"/>
    </row>
    <row r="26" spans="1:13" s="39" customFormat="1" ht="15">
      <c r="A26" s="41" t="s">
        <v>27</v>
      </c>
      <c r="B26" s="41" t="s">
        <v>28</v>
      </c>
      <c r="C26" s="101"/>
      <c r="D26" s="81">
        <v>0</v>
      </c>
      <c r="E26" s="81">
        <v>0</v>
      </c>
      <c r="F26" s="81">
        <f t="shared" si="0"/>
        <v>0</v>
      </c>
      <c r="G26" s="81">
        <f t="shared" si="2"/>
        <v>0</v>
      </c>
      <c r="M26" s="251"/>
    </row>
    <row r="27" spans="1:13" s="39" customFormat="1" ht="15">
      <c r="A27" s="41" t="s">
        <v>29</v>
      </c>
      <c r="B27" s="41" t="s">
        <v>30</v>
      </c>
      <c r="C27" s="101">
        <v>0</v>
      </c>
      <c r="D27" s="81">
        <v>0</v>
      </c>
      <c r="E27" s="81">
        <v>0</v>
      </c>
      <c r="F27" s="81">
        <f t="shared" si="0"/>
        <v>0</v>
      </c>
      <c r="G27" s="81">
        <f t="shared" si="2"/>
        <v>0</v>
      </c>
      <c r="M27" s="251"/>
    </row>
    <row r="28" spans="1:13" s="39" customFormat="1" ht="15">
      <c r="A28" s="41" t="s">
        <v>31</v>
      </c>
      <c r="B28" s="41" t="s">
        <v>119</v>
      </c>
      <c r="C28" s="101">
        <v>1.99</v>
      </c>
      <c r="D28" s="81">
        <v>54373</v>
      </c>
      <c r="E28" s="81">
        <v>53078.58</v>
      </c>
      <c r="F28" s="91">
        <f>F46</f>
        <v>26706.7858</v>
      </c>
      <c r="G28" s="81">
        <f t="shared" si="2"/>
        <v>-1294.4199999999983</v>
      </c>
      <c r="M28" s="251"/>
    </row>
    <row r="29" spans="1:13" s="39" customFormat="1" ht="15">
      <c r="A29" s="41" t="s">
        <v>33</v>
      </c>
      <c r="B29" s="41" t="s">
        <v>34</v>
      </c>
      <c r="C29" s="46"/>
      <c r="D29" s="81">
        <v>0</v>
      </c>
      <c r="E29" s="81">
        <v>1030.51</v>
      </c>
      <c r="F29" s="91">
        <v>0</v>
      </c>
      <c r="G29" s="81">
        <f t="shared" si="2"/>
        <v>1030.51</v>
      </c>
      <c r="M29" s="251"/>
    </row>
    <row r="30" spans="1:13" s="39" customFormat="1" ht="15">
      <c r="A30" s="41" t="s">
        <v>35</v>
      </c>
      <c r="B30" s="41" t="s">
        <v>507</v>
      </c>
      <c r="C30" s="46">
        <v>60</v>
      </c>
      <c r="D30" s="81">
        <v>35700</v>
      </c>
      <c r="E30" s="81">
        <v>32022.57</v>
      </c>
      <c r="F30" s="91">
        <f>D30</f>
        <v>35700</v>
      </c>
      <c r="G30" s="81">
        <f t="shared" si="2"/>
        <v>-3677.4300000000003</v>
      </c>
      <c r="M30" s="251"/>
    </row>
    <row r="31" spans="1:13" s="39" customFormat="1" ht="15">
      <c r="A31" s="41" t="s">
        <v>230</v>
      </c>
      <c r="B31" s="41" t="s">
        <v>36</v>
      </c>
      <c r="C31" s="101">
        <f>SUM(C32:C35)</f>
        <v>0</v>
      </c>
      <c r="D31" s="81">
        <f>SUM(D32:D35)</f>
        <v>1354078.73</v>
      </c>
      <c r="E31" s="81">
        <f>SUM(E32:E35)</f>
        <v>1348481.65</v>
      </c>
      <c r="F31" s="81">
        <f>SUM(F32:F35)</f>
        <v>1354078.73</v>
      </c>
      <c r="G31" s="81">
        <f>SUM(G32:G35)</f>
        <v>-5597.080000000016</v>
      </c>
      <c r="M31" s="251"/>
    </row>
    <row r="32" spans="1:7" ht="15">
      <c r="A32" s="34" t="s">
        <v>232</v>
      </c>
      <c r="B32" s="34" t="s">
        <v>184</v>
      </c>
      <c r="C32" s="236" t="s">
        <v>300</v>
      </c>
      <c r="D32" s="88">
        <v>413989.68</v>
      </c>
      <c r="E32" s="88">
        <v>377931.99</v>
      </c>
      <c r="F32" s="88">
        <f>D32</f>
        <v>413989.68</v>
      </c>
      <c r="G32" s="88">
        <f>E32-D32</f>
        <v>-36057.69</v>
      </c>
    </row>
    <row r="33" spans="1:7" ht="15">
      <c r="A33" s="34" t="s">
        <v>233</v>
      </c>
      <c r="B33" s="34" t="s">
        <v>142</v>
      </c>
      <c r="C33" s="103" t="s">
        <v>315</v>
      </c>
      <c r="D33" s="88">
        <v>157149.36</v>
      </c>
      <c r="E33" s="88">
        <v>171688.2</v>
      </c>
      <c r="F33" s="88">
        <f>D33</f>
        <v>157149.36</v>
      </c>
      <c r="G33" s="88">
        <f>E33-D33</f>
        <v>14538.840000000026</v>
      </c>
    </row>
    <row r="34" spans="1:13" ht="15">
      <c r="A34" s="34" t="s">
        <v>234</v>
      </c>
      <c r="B34" s="34" t="s">
        <v>143</v>
      </c>
      <c r="C34" s="149" t="s">
        <v>488</v>
      </c>
      <c r="D34" s="88">
        <v>205149.77</v>
      </c>
      <c r="E34" s="88">
        <v>233153.98</v>
      </c>
      <c r="F34" s="88">
        <f>D34</f>
        <v>205149.77</v>
      </c>
      <c r="G34" s="88">
        <f>E34-D34</f>
        <v>28004.21000000002</v>
      </c>
      <c r="M34" s="36"/>
    </row>
    <row r="35" spans="1:13" ht="15.75" thickBot="1">
      <c r="A35" s="34" t="s">
        <v>235</v>
      </c>
      <c r="B35" s="34" t="s">
        <v>43</v>
      </c>
      <c r="C35" s="103" t="s">
        <v>482</v>
      </c>
      <c r="D35" s="88">
        <v>577789.92</v>
      </c>
      <c r="E35" s="88">
        <v>565707.48</v>
      </c>
      <c r="F35" s="88">
        <f>D35</f>
        <v>577789.92</v>
      </c>
      <c r="G35" s="88">
        <f>E35-D35</f>
        <v>-12082.44000000006</v>
      </c>
      <c r="M35" s="36"/>
    </row>
    <row r="36" spans="1:9" s="71" customFormat="1" ht="15.75" thickBot="1">
      <c r="A36" s="319" t="s">
        <v>420</v>
      </c>
      <c r="B36" s="320"/>
      <c r="C36" s="320"/>
      <c r="D36" s="69">
        <f>D13+D19+D25+D26+D27+D28+D29+D30+D31-E19-E25-E26-E27-E28-E29-E30-E31</f>
        <v>347125.4199999997</v>
      </c>
      <c r="E36" s="70"/>
      <c r="F36" s="70"/>
      <c r="G36" s="70"/>
      <c r="H36" s="66"/>
      <c r="I36" s="66"/>
    </row>
    <row r="37" spans="1:9" s="71" customFormat="1" ht="9.75" customHeight="1" thickBot="1">
      <c r="A37" s="72"/>
      <c r="B37" s="72"/>
      <c r="C37" s="72"/>
      <c r="D37" s="40"/>
      <c r="E37" s="70"/>
      <c r="F37" s="70"/>
      <c r="G37" s="70"/>
      <c r="H37" s="66"/>
      <c r="I37" s="66"/>
    </row>
    <row r="38" spans="1:13" s="71" customFormat="1" ht="15.75" thickBot="1">
      <c r="A38" s="67" t="s">
        <v>557</v>
      </c>
      <c r="B38" s="68"/>
      <c r="C38" s="68"/>
      <c r="D38" s="73"/>
      <c r="E38" s="74"/>
      <c r="F38" s="74"/>
      <c r="G38" s="151">
        <f>G16+E29-F29</f>
        <v>-4355.469999999999</v>
      </c>
      <c r="H38" s="66"/>
      <c r="I38" s="66"/>
      <c r="M38" s="152"/>
    </row>
    <row r="39" spans="1:13" s="71" customFormat="1" ht="15.75" thickBot="1">
      <c r="A39" s="67" t="s">
        <v>558</v>
      </c>
      <c r="B39" s="68"/>
      <c r="C39" s="68"/>
      <c r="D39" s="73"/>
      <c r="E39" s="74"/>
      <c r="F39" s="74"/>
      <c r="G39" s="151">
        <f>G15+E28-F28</f>
        <v>76088.0309</v>
      </c>
      <c r="H39" s="66"/>
      <c r="I39" s="66"/>
      <c r="M39" s="152"/>
    </row>
    <row r="40" spans="1:9" s="71" customFormat="1" ht="15">
      <c r="A40" s="418" t="s">
        <v>150</v>
      </c>
      <c r="B40" s="418"/>
      <c r="C40" s="72"/>
      <c r="D40" s="40"/>
      <c r="E40" s="70"/>
      <c r="F40" s="70"/>
      <c r="G40" s="40"/>
      <c r="H40" s="66"/>
      <c r="I40" s="66"/>
    </row>
    <row r="41" spans="1:9" s="71" customFormat="1" ht="15">
      <c r="A41" s="419" t="s">
        <v>151</v>
      </c>
      <c r="B41" s="420"/>
      <c r="C41" s="44" t="s">
        <v>152</v>
      </c>
      <c r="D41" s="44" t="s">
        <v>153</v>
      </c>
      <c r="E41" s="45" t="s">
        <v>154</v>
      </c>
      <c r="F41" s="42" t="s">
        <v>155</v>
      </c>
      <c r="G41" s="45" t="s">
        <v>156</v>
      </c>
      <c r="H41" s="66"/>
      <c r="I41" s="66"/>
    </row>
    <row r="42" spans="1:9" s="71" customFormat="1" ht="15">
      <c r="A42" s="421"/>
      <c r="B42" s="422"/>
      <c r="C42" s="240">
        <v>233.4</v>
      </c>
      <c r="D42" s="160">
        <f>E42/12/C42</f>
        <v>14.968434018851754</v>
      </c>
      <c r="E42" s="255">
        <f>20001.36+21922.23</f>
        <v>41923.59</v>
      </c>
      <c r="F42" s="255">
        <f>19913.14</f>
        <v>19913.14</v>
      </c>
      <c r="G42" s="160">
        <f>E42-F42</f>
        <v>22010.449999999997</v>
      </c>
      <c r="H42" s="66"/>
      <c r="I42" s="66"/>
    </row>
    <row r="43" spans="1:9" ht="35.25" customHeight="1">
      <c r="A43" s="372" t="s">
        <v>44</v>
      </c>
      <c r="B43" s="372"/>
      <c r="C43" s="372"/>
      <c r="D43" s="372"/>
      <c r="E43" s="372"/>
      <c r="F43" s="372"/>
      <c r="G43" s="372"/>
      <c r="H43" s="372"/>
      <c r="I43" s="372"/>
    </row>
    <row r="45" spans="1:7" s="179" customFormat="1" ht="28.5" customHeight="1">
      <c r="A45" s="109" t="s">
        <v>11</v>
      </c>
      <c r="B45" s="340" t="s">
        <v>45</v>
      </c>
      <c r="C45" s="352"/>
      <c r="D45" s="109" t="s">
        <v>172</v>
      </c>
      <c r="E45" s="109" t="s">
        <v>171</v>
      </c>
      <c r="F45" s="340" t="s">
        <v>46</v>
      </c>
      <c r="G45" s="352"/>
    </row>
    <row r="46" spans="1:7" s="119" customFormat="1" ht="15">
      <c r="A46" s="113" t="s">
        <v>47</v>
      </c>
      <c r="B46" s="342" t="s">
        <v>114</v>
      </c>
      <c r="C46" s="345"/>
      <c r="D46" s="115"/>
      <c r="E46" s="115"/>
      <c r="F46" s="356">
        <f>SUM(F47:L50)</f>
        <v>26706.7858</v>
      </c>
      <c r="G46" s="351"/>
    </row>
    <row r="47" spans="1:13" ht="15" customHeight="1">
      <c r="A47" s="34" t="s">
        <v>16</v>
      </c>
      <c r="B47" s="325" t="s">
        <v>504</v>
      </c>
      <c r="C47" s="327"/>
      <c r="D47" s="123" t="s">
        <v>173</v>
      </c>
      <c r="E47" s="123">
        <v>1</v>
      </c>
      <c r="F47" s="366">
        <v>11200</v>
      </c>
      <c r="G47" s="367"/>
      <c r="M47" s="35"/>
    </row>
    <row r="48" spans="1:13" ht="15" customHeight="1">
      <c r="A48" s="34" t="s">
        <v>18</v>
      </c>
      <c r="B48" s="325" t="s">
        <v>505</v>
      </c>
      <c r="C48" s="327"/>
      <c r="D48" s="123" t="s">
        <v>173</v>
      </c>
      <c r="E48" s="123">
        <v>1</v>
      </c>
      <c r="F48" s="355">
        <v>11976</v>
      </c>
      <c r="G48" s="355"/>
      <c r="M48" s="35"/>
    </row>
    <row r="49" spans="1:13" ht="15" customHeight="1">
      <c r="A49" s="34" t="s">
        <v>20</v>
      </c>
      <c r="B49" s="325" t="s">
        <v>506</v>
      </c>
      <c r="C49" s="327"/>
      <c r="D49" s="123" t="s">
        <v>173</v>
      </c>
      <c r="E49" s="123">
        <v>1</v>
      </c>
      <c r="F49" s="355">
        <v>3000</v>
      </c>
      <c r="G49" s="355"/>
      <c r="M49" s="35"/>
    </row>
    <row r="50" spans="1:13" ht="15">
      <c r="A50" s="34" t="s">
        <v>22</v>
      </c>
      <c r="B50" s="155" t="s">
        <v>207</v>
      </c>
      <c r="C50" s="156"/>
      <c r="D50" s="123"/>
      <c r="E50" s="123"/>
      <c r="F50" s="355">
        <f>E28*1%</f>
        <v>530.7858</v>
      </c>
      <c r="G50" s="355"/>
      <c r="M50" s="35"/>
    </row>
    <row r="51" spans="1:13" ht="15">
      <c r="A51" s="71"/>
      <c r="B51" s="71"/>
      <c r="C51" s="71"/>
      <c r="D51" s="71"/>
      <c r="E51" s="71"/>
      <c r="F51" s="71"/>
      <c r="G51" s="71"/>
      <c r="M51" s="35"/>
    </row>
    <row r="52" spans="1:13" ht="15">
      <c r="A52" s="71" t="s">
        <v>55</v>
      </c>
      <c r="B52" s="71"/>
      <c r="C52" s="71" t="s">
        <v>49</v>
      </c>
      <c r="D52" s="71"/>
      <c r="E52" s="71"/>
      <c r="F52" s="71" t="s">
        <v>93</v>
      </c>
      <c r="G52" s="71"/>
      <c r="M52" s="35"/>
    </row>
    <row r="53" spans="1:13" ht="15">
      <c r="A53" s="71"/>
      <c r="B53" s="71"/>
      <c r="C53" s="71"/>
      <c r="D53" s="71"/>
      <c r="E53" s="71"/>
      <c r="F53" s="132" t="s">
        <v>296</v>
      </c>
      <c r="G53" s="71"/>
      <c r="M53" s="35"/>
    </row>
    <row r="54" s="71" customFormat="1" ht="15">
      <c r="A54" s="71" t="s">
        <v>50</v>
      </c>
    </row>
    <row r="55" spans="3:7" s="71" customFormat="1" ht="15">
      <c r="C55" s="134" t="s">
        <v>51</v>
      </c>
      <c r="E55" s="134"/>
      <c r="F55" s="134"/>
      <c r="G55" s="134"/>
    </row>
    <row r="56" s="71" customFormat="1" ht="15"/>
    <row r="57" s="71" customFormat="1" ht="15"/>
  </sheetData>
  <sheetProtection/>
  <mergeCells count="23">
    <mergeCell ref="F50:G50"/>
    <mergeCell ref="F47:G47"/>
    <mergeCell ref="F48:G48"/>
    <mergeCell ref="B47:C47"/>
    <mergeCell ref="B48:C48"/>
    <mergeCell ref="F46:G46"/>
    <mergeCell ref="B49:C49"/>
    <mergeCell ref="B46:C46"/>
    <mergeCell ref="F49:G49"/>
    <mergeCell ref="A12:I12"/>
    <mergeCell ref="A13:C13"/>
    <mergeCell ref="A36:C36"/>
    <mergeCell ref="A43:I43"/>
    <mergeCell ref="F45:G45"/>
    <mergeCell ref="B45:C45"/>
    <mergeCell ref="A40:B40"/>
    <mergeCell ref="A41:B42"/>
    <mergeCell ref="A11:I11"/>
    <mergeCell ref="A1:I1"/>
    <mergeCell ref="A2:I2"/>
    <mergeCell ref="A3:K3"/>
    <mergeCell ref="A5:I5"/>
    <mergeCell ref="A10:I10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7030A0"/>
  </sheetPr>
  <dimension ref="A1:M58"/>
  <sheetViews>
    <sheetView zoomScalePageLayoutView="0" workbookViewId="0" topLeftCell="A22">
      <selection activeCell="G37" sqref="G37"/>
    </sheetView>
  </sheetViews>
  <sheetFormatPr defaultColWidth="9.140625" defaultRowHeight="15" outlineLevelCol="1"/>
  <cols>
    <col min="1" max="1" width="5.00390625" style="35" customWidth="1"/>
    <col min="2" max="2" width="48.28125" style="35" customWidth="1"/>
    <col min="3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249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15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6" s="71" customFormat="1" ht="15">
      <c r="A7" s="71" t="s">
        <v>2</v>
      </c>
      <c r="F7" s="132" t="s">
        <v>140</v>
      </c>
    </row>
    <row r="8" spans="1:9" s="71" customFormat="1" ht="15">
      <c r="A8" s="71" t="s">
        <v>3</v>
      </c>
      <c r="F8" s="132" t="s">
        <v>508</v>
      </c>
      <c r="I8" s="213">
        <f>5533.7+C40</f>
        <v>5764.8</v>
      </c>
    </row>
    <row r="9" s="71" customFormat="1" ht="15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5.75" thickBot="1">
      <c r="A13" s="319" t="s">
        <v>419</v>
      </c>
      <c r="B13" s="320"/>
      <c r="C13" s="320"/>
      <c r="D13" s="51">
        <v>265677.09</v>
      </c>
      <c r="E13" s="70"/>
      <c r="F13" s="70"/>
      <c r="G13" s="70"/>
      <c r="H13" s="66"/>
      <c r="I13" s="66"/>
    </row>
    <row r="14" spans="1:9" s="71" customFormat="1" ht="15.75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514</v>
      </c>
      <c r="B15" s="68"/>
      <c r="C15" s="68"/>
      <c r="D15" s="73"/>
      <c r="E15" s="74"/>
      <c r="F15" s="74"/>
      <c r="G15" s="69">
        <f>'[1]Солнечный б-р 4-2'!$G$37</f>
        <v>-265605.0533</v>
      </c>
      <c r="H15" s="66"/>
      <c r="I15" s="66"/>
    </row>
    <row r="16" s="71" customFormat="1" ht="15"/>
    <row r="17" spans="1:7" s="78" customFormat="1" ht="38.25">
      <c r="A17" s="76" t="s">
        <v>11</v>
      </c>
      <c r="B17" s="76" t="s">
        <v>12</v>
      </c>
      <c r="C17" s="76" t="s">
        <v>94</v>
      </c>
      <c r="D17" s="76" t="s">
        <v>466</v>
      </c>
      <c r="E17" s="76" t="s">
        <v>284</v>
      </c>
      <c r="F17" s="77" t="s">
        <v>298</v>
      </c>
      <c r="G17" s="76" t="s">
        <v>299</v>
      </c>
    </row>
    <row r="18" spans="1:8" s="175" customFormat="1" ht="14.25">
      <c r="A18" s="79" t="s">
        <v>14</v>
      </c>
      <c r="B18" s="41" t="s">
        <v>15</v>
      </c>
      <c r="C18" s="101">
        <f>SUM(C19:C23)</f>
        <v>13.469999999999999</v>
      </c>
      <c r="D18" s="80">
        <v>894468.36</v>
      </c>
      <c r="E18" s="80">
        <v>867474.16</v>
      </c>
      <c r="F18" s="80">
        <f aca="true" t="shared" si="0" ref="F18:F26">D18</f>
        <v>894468.36</v>
      </c>
      <c r="G18" s="81">
        <f aca="true" t="shared" si="1" ref="G18:G28">E18-D18</f>
        <v>-26994.199999999953</v>
      </c>
      <c r="H18" s="142">
        <f>C18</f>
        <v>13.469999999999999</v>
      </c>
    </row>
    <row r="19" spans="1:9" s="71" customFormat="1" ht="15">
      <c r="A19" s="85" t="s">
        <v>16</v>
      </c>
      <c r="B19" s="34" t="s">
        <v>17</v>
      </c>
      <c r="C19" s="86">
        <v>3.34</v>
      </c>
      <c r="D19" s="87">
        <f>D18*I19</f>
        <v>221790.96677060134</v>
      </c>
      <c r="E19" s="87">
        <f>E18*I19</f>
        <v>215097.527423905</v>
      </c>
      <c r="F19" s="87">
        <f t="shared" si="0"/>
        <v>221790.96677060134</v>
      </c>
      <c r="G19" s="88">
        <f t="shared" si="1"/>
        <v>-6693.439346696337</v>
      </c>
      <c r="H19" s="82">
        <f>C19</f>
        <v>3.34</v>
      </c>
      <c r="I19" s="71">
        <f>H19/H18</f>
        <v>0.24795842613214553</v>
      </c>
    </row>
    <row r="20" spans="1:9" s="71" customFormat="1" ht="15">
      <c r="A20" s="85" t="s">
        <v>18</v>
      </c>
      <c r="B20" s="34" t="s">
        <v>19</v>
      </c>
      <c r="C20" s="89">
        <v>1.63</v>
      </c>
      <c r="D20" s="87">
        <f>D18*I20</f>
        <v>108239.30414253897</v>
      </c>
      <c r="E20" s="87">
        <f>E18*I20</f>
        <v>104972.74541945063</v>
      </c>
      <c r="F20" s="87">
        <f t="shared" si="0"/>
        <v>108239.30414253897</v>
      </c>
      <c r="G20" s="88">
        <f t="shared" si="1"/>
        <v>-3266.5587230883393</v>
      </c>
      <c r="H20" s="82">
        <f>C20</f>
        <v>1.63</v>
      </c>
      <c r="I20" s="71">
        <f>H20/H18</f>
        <v>0.12100965107646622</v>
      </c>
    </row>
    <row r="21" spans="1:9" s="71" customFormat="1" ht="15">
      <c r="A21" s="85" t="s">
        <v>20</v>
      </c>
      <c r="B21" s="34" t="s">
        <v>21</v>
      </c>
      <c r="C21" s="86">
        <v>2.07</v>
      </c>
      <c r="D21" s="87">
        <f>D18*I21</f>
        <v>137457.2758129176</v>
      </c>
      <c r="E21" s="87">
        <f>E18*I21</f>
        <v>133308.94663697106</v>
      </c>
      <c r="F21" s="87">
        <f t="shared" si="0"/>
        <v>137457.2758129176</v>
      </c>
      <c r="G21" s="88">
        <f t="shared" si="1"/>
        <v>-4148.3291759465355</v>
      </c>
      <c r="H21" s="82">
        <f>C21</f>
        <v>2.07</v>
      </c>
      <c r="I21" s="71">
        <f>H21/H18</f>
        <v>0.15367483296213807</v>
      </c>
    </row>
    <row r="22" spans="1:9" s="71" customFormat="1" ht="15">
      <c r="A22" s="85" t="s">
        <v>22</v>
      </c>
      <c r="B22" s="34" t="s">
        <v>23</v>
      </c>
      <c r="C22" s="86">
        <v>2.93</v>
      </c>
      <c r="D22" s="87">
        <f>D18*I22</f>
        <v>194565.12953229403</v>
      </c>
      <c r="E22" s="87">
        <f>E18*I22</f>
        <v>188693.33992576099</v>
      </c>
      <c r="F22" s="87">
        <f t="shared" si="0"/>
        <v>194565.12953229403</v>
      </c>
      <c r="G22" s="88">
        <f t="shared" si="1"/>
        <v>-5871.789606533042</v>
      </c>
      <c r="H22" s="82">
        <f>C22</f>
        <v>2.93</v>
      </c>
      <c r="I22" s="71">
        <f>H22/H18</f>
        <v>0.21752041573867859</v>
      </c>
    </row>
    <row r="23" spans="1:9" s="71" customFormat="1" ht="15">
      <c r="A23" s="85" t="s">
        <v>24</v>
      </c>
      <c r="B23" s="34" t="s">
        <v>275</v>
      </c>
      <c r="C23" s="86">
        <v>3.5</v>
      </c>
      <c r="D23" s="87">
        <f>D18*I23</f>
        <v>223783.10120267264</v>
      </c>
      <c r="E23" s="87">
        <f>E18*I23</f>
        <v>217029.5411432814</v>
      </c>
      <c r="F23" s="87">
        <f t="shared" si="0"/>
        <v>223783.10120267264</v>
      </c>
      <c r="G23" s="88">
        <f t="shared" si="1"/>
        <v>-6753.560059391224</v>
      </c>
      <c r="H23" s="82">
        <v>3.37</v>
      </c>
      <c r="I23" s="71">
        <f>H23/H18</f>
        <v>0.25018559762435044</v>
      </c>
    </row>
    <row r="24" spans="1:13" s="39" customFormat="1" ht="15">
      <c r="A24" s="41" t="s">
        <v>25</v>
      </c>
      <c r="B24" s="41" t="s">
        <v>26</v>
      </c>
      <c r="C24" s="101">
        <v>3.72</v>
      </c>
      <c r="D24" s="81">
        <v>246923.83</v>
      </c>
      <c r="E24" s="81">
        <v>246372.39</v>
      </c>
      <c r="F24" s="80">
        <f t="shared" si="0"/>
        <v>246923.83</v>
      </c>
      <c r="G24" s="81">
        <f t="shared" si="1"/>
        <v>-551.4399999999732</v>
      </c>
      <c r="M24" s="251"/>
    </row>
    <row r="25" spans="1:13" s="39" customFormat="1" ht="15">
      <c r="A25" s="41" t="s">
        <v>27</v>
      </c>
      <c r="B25" s="41" t="s">
        <v>28</v>
      </c>
      <c r="C25" s="101"/>
      <c r="D25" s="81">
        <v>0</v>
      </c>
      <c r="E25" s="81">
        <v>0</v>
      </c>
      <c r="F25" s="81">
        <f t="shared" si="0"/>
        <v>0</v>
      </c>
      <c r="G25" s="81">
        <f t="shared" si="1"/>
        <v>0</v>
      </c>
      <c r="M25" s="251"/>
    </row>
    <row r="26" spans="1:13" s="39" customFormat="1" ht="15">
      <c r="A26" s="41" t="s">
        <v>29</v>
      </c>
      <c r="B26" s="41" t="s">
        <v>30</v>
      </c>
      <c r="C26" s="101">
        <v>0</v>
      </c>
      <c r="D26" s="81">
        <v>0</v>
      </c>
      <c r="E26" s="81">
        <v>0</v>
      </c>
      <c r="F26" s="81">
        <f t="shared" si="0"/>
        <v>0</v>
      </c>
      <c r="G26" s="81">
        <f t="shared" si="1"/>
        <v>0</v>
      </c>
      <c r="M26" s="251"/>
    </row>
    <row r="27" spans="1:13" s="39" customFormat="1" ht="15">
      <c r="A27" s="41" t="s">
        <v>31</v>
      </c>
      <c r="B27" s="41" t="s">
        <v>119</v>
      </c>
      <c r="C27" s="101">
        <v>1.99</v>
      </c>
      <c r="D27" s="81">
        <v>132145.08</v>
      </c>
      <c r="E27" s="81">
        <v>131870.52</v>
      </c>
      <c r="F27" s="91">
        <f>F44</f>
        <v>92859.63519999999</v>
      </c>
      <c r="G27" s="81">
        <f t="shared" si="1"/>
        <v>-274.5599999999977</v>
      </c>
      <c r="M27" s="254"/>
    </row>
    <row r="28" spans="1:13" s="39" customFormat="1" ht="15">
      <c r="A28" s="41" t="s">
        <v>33</v>
      </c>
      <c r="B28" s="41" t="s">
        <v>170</v>
      </c>
      <c r="C28" s="46">
        <v>0</v>
      </c>
      <c r="D28" s="81">
        <v>0</v>
      </c>
      <c r="E28" s="81">
        <v>0</v>
      </c>
      <c r="F28" s="91">
        <f>D28</f>
        <v>0</v>
      </c>
      <c r="G28" s="81">
        <f t="shared" si="1"/>
        <v>0</v>
      </c>
      <c r="M28" s="251"/>
    </row>
    <row r="29" spans="1:13" s="39" customFormat="1" ht="15">
      <c r="A29" s="41" t="s">
        <v>35</v>
      </c>
      <c r="B29" s="41" t="s">
        <v>36</v>
      </c>
      <c r="C29" s="101">
        <f>SUM(C30:C33)</f>
        <v>0</v>
      </c>
      <c r="D29" s="81">
        <f>SUM(D30:D33)</f>
        <v>3465432.45</v>
      </c>
      <c r="E29" s="81">
        <f>SUM(E30:E33)</f>
        <v>3400032.61</v>
      </c>
      <c r="F29" s="81">
        <f>SUM(F30:F33)</f>
        <v>2076579.39</v>
      </c>
      <c r="G29" s="81">
        <f>SUM(G30:G33)</f>
        <v>-65399.83999999997</v>
      </c>
      <c r="M29" s="251"/>
    </row>
    <row r="30" spans="1:7" ht="15">
      <c r="A30" s="34" t="s">
        <v>37</v>
      </c>
      <c r="B30" s="34" t="s">
        <v>184</v>
      </c>
      <c r="C30" s="236" t="s">
        <v>300</v>
      </c>
      <c r="D30" s="88">
        <v>986094.02</v>
      </c>
      <c r="E30" s="88">
        <v>975516.32</v>
      </c>
      <c r="F30" s="88">
        <f>D30</f>
        <v>986094.02</v>
      </c>
      <c r="G30" s="88">
        <f>E30-D30</f>
        <v>-10577.70000000007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368906.77</v>
      </c>
      <c r="E31" s="88">
        <v>378357.38</v>
      </c>
      <c r="F31" s="88">
        <f>D31</f>
        <v>368906.77</v>
      </c>
      <c r="G31" s="88">
        <f>E31-D31</f>
        <v>9450.609999999986</v>
      </c>
    </row>
    <row r="32" spans="1:7" ht="15">
      <c r="A32" s="34" t="s">
        <v>42</v>
      </c>
      <c r="B32" s="34" t="s">
        <v>143</v>
      </c>
      <c r="C32" s="149" t="s">
        <v>488</v>
      </c>
      <c r="D32" s="88">
        <v>683444.2</v>
      </c>
      <c r="E32" s="88">
        <v>657305.85</v>
      </c>
      <c r="F32" s="88">
        <f>D32</f>
        <v>683444.2</v>
      </c>
      <c r="G32" s="88">
        <f>E32-D32</f>
        <v>-26138.349999999977</v>
      </c>
    </row>
    <row r="33" spans="1:7" ht="15">
      <c r="A33" s="34" t="s">
        <v>41</v>
      </c>
      <c r="B33" s="34" t="s">
        <v>43</v>
      </c>
      <c r="C33" s="103" t="s">
        <v>482</v>
      </c>
      <c r="D33" s="88">
        <v>1426987.46</v>
      </c>
      <c r="E33" s="88">
        <v>1388853.06</v>
      </c>
      <c r="F33" s="88">
        <v>38134.4</v>
      </c>
      <c r="G33" s="88">
        <f>E33-D33</f>
        <v>-38134.39999999991</v>
      </c>
    </row>
    <row r="34" spans="1:10" s="106" customFormat="1" ht="14.25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D13+D18+D24+D25+D26+D27+D28+D29-E18-E24-E25-E26-E27-E28-E29</f>
        <v>358897.13000000035</v>
      </c>
      <c r="E35" s="70"/>
      <c r="F35" s="70"/>
      <c r="G35" s="70"/>
      <c r="H35" s="66"/>
      <c r="I35" s="66"/>
    </row>
    <row r="36" spans="1:9" s="71" customFormat="1" ht="9.75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G15+E27-F27</f>
        <v>-226594.16850000003</v>
      </c>
      <c r="H37" s="66"/>
      <c r="I37" s="66"/>
    </row>
    <row r="38" spans="1:9" s="71" customFormat="1" ht="15">
      <c r="A38" s="418" t="s">
        <v>150</v>
      </c>
      <c r="B38" s="418"/>
      <c r="C38" s="72"/>
      <c r="D38" s="40"/>
      <c r="E38" s="70"/>
      <c r="F38" s="70"/>
      <c r="G38" s="40"/>
      <c r="H38" s="66"/>
      <c r="I38" s="66"/>
    </row>
    <row r="39" spans="1:9" s="71" customFormat="1" ht="15">
      <c r="A39" s="419" t="s">
        <v>151</v>
      </c>
      <c r="B39" s="420"/>
      <c r="C39" s="44" t="s">
        <v>152</v>
      </c>
      <c r="D39" s="44" t="s">
        <v>153</v>
      </c>
      <c r="E39" s="45" t="s">
        <v>154</v>
      </c>
      <c r="F39" s="42" t="s">
        <v>155</v>
      </c>
      <c r="G39" s="45" t="s">
        <v>156</v>
      </c>
      <c r="H39" s="66"/>
      <c r="I39" s="66"/>
    </row>
    <row r="40" spans="1:9" s="71" customFormat="1" ht="15">
      <c r="A40" s="421"/>
      <c r="B40" s="422"/>
      <c r="C40" s="240">
        <f>130.1+101</f>
        <v>231.1</v>
      </c>
      <c r="D40" s="160">
        <f>E40/C40/12</f>
        <v>12.73760276936391</v>
      </c>
      <c r="E40" s="255">
        <f>16319.76+19004.16</f>
        <v>35323.92</v>
      </c>
      <c r="F40" s="255">
        <f>33707.67+43881.47</f>
        <v>77589.14</v>
      </c>
      <c r="G40" s="160">
        <f>E40-F40</f>
        <v>-42265.22</v>
      </c>
      <c r="H40" s="66"/>
      <c r="I40" s="66"/>
    </row>
    <row r="41" spans="1:9" ht="35.25" customHeight="1">
      <c r="A41" s="372" t="s">
        <v>44</v>
      </c>
      <c r="B41" s="372"/>
      <c r="C41" s="372"/>
      <c r="D41" s="372"/>
      <c r="E41" s="372"/>
      <c r="F41" s="372"/>
      <c r="G41" s="372"/>
      <c r="H41" s="372"/>
      <c r="I41" s="372"/>
    </row>
    <row r="43" spans="1:7" s="179" customFormat="1" ht="28.5" customHeight="1">
      <c r="A43" s="109" t="s">
        <v>11</v>
      </c>
      <c r="B43" s="340" t="s">
        <v>45</v>
      </c>
      <c r="C43" s="352"/>
      <c r="D43" s="109" t="s">
        <v>172</v>
      </c>
      <c r="E43" s="109" t="s">
        <v>171</v>
      </c>
      <c r="F43" s="340" t="s">
        <v>46</v>
      </c>
      <c r="G43" s="352"/>
    </row>
    <row r="44" spans="1:7" s="119" customFormat="1" ht="15">
      <c r="A44" s="113" t="s">
        <v>47</v>
      </c>
      <c r="B44" s="342" t="s">
        <v>114</v>
      </c>
      <c r="C44" s="345"/>
      <c r="D44" s="115"/>
      <c r="E44" s="115"/>
      <c r="F44" s="356">
        <f>SUM(F45:G52)</f>
        <v>92859.63519999999</v>
      </c>
      <c r="G44" s="351"/>
    </row>
    <row r="45" spans="1:13" ht="15" customHeight="1">
      <c r="A45" s="34" t="s">
        <v>16</v>
      </c>
      <c r="B45" s="325" t="s">
        <v>509</v>
      </c>
      <c r="C45" s="327"/>
      <c r="D45" s="123" t="s">
        <v>265</v>
      </c>
      <c r="E45" s="225">
        <v>0.12</v>
      </c>
      <c r="F45" s="366">
        <v>11459</v>
      </c>
      <c r="G45" s="367"/>
      <c r="M45" s="35"/>
    </row>
    <row r="46" spans="1:13" ht="15" customHeight="1">
      <c r="A46" s="34" t="s">
        <v>18</v>
      </c>
      <c r="B46" s="325" t="s">
        <v>510</v>
      </c>
      <c r="C46" s="327"/>
      <c r="D46" s="123" t="s">
        <v>173</v>
      </c>
      <c r="E46" s="123">
        <v>1</v>
      </c>
      <c r="F46" s="355">
        <v>9757</v>
      </c>
      <c r="G46" s="355"/>
      <c r="M46" s="35"/>
    </row>
    <row r="47" spans="1:13" ht="15" customHeight="1">
      <c r="A47" s="34" t="s">
        <v>20</v>
      </c>
      <c r="B47" s="325" t="s">
        <v>511</v>
      </c>
      <c r="C47" s="326"/>
      <c r="D47" s="123" t="s">
        <v>173</v>
      </c>
      <c r="E47" s="225">
        <v>2</v>
      </c>
      <c r="F47" s="355">
        <v>12165.85</v>
      </c>
      <c r="G47" s="355"/>
      <c r="M47" s="35"/>
    </row>
    <row r="48" spans="1:13" ht="15" customHeight="1">
      <c r="A48" s="34" t="s">
        <v>22</v>
      </c>
      <c r="B48" s="325" t="s">
        <v>506</v>
      </c>
      <c r="C48" s="326"/>
      <c r="D48" s="123" t="s">
        <v>173</v>
      </c>
      <c r="E48" s="123">
        <v>1</v>
      </c>
      <c r="F48" s="355">
        <v>7000</v>
      </c>
      <c r="G48" s="355"/>
      <c r="M48" s="35"/>
    </row>
    <row r="49" spans="1:13" ht="15" customHeight="1">
      <c r="A49" s="34" t="s">
        <v>24</v>
      </c>
      <c r="B49" s="325" t="s">
        <v>767</v>
      </c>
      <c r="C49" s="326"/>
      <c r="D49" s="123" t="s">
        <v>176</v>
      </c>
      <c r="E49" s="123">
        <v>0.09</v>
      </c>
      <c r="F49" s="355">
        <v>47129.08</v>
      </c>
      <c r="G49" s="355"/>
      <c r="M49" s="35"/>
    </row>
    <row r="50" spans="1:13" ht="15" customHeight="1">
      <c r="A50" s="34" t="s">
        <v>106</v>
      </c>
      <c r="B50" s="325" t="s">
        <v>726</v>
      </c>
      <c r="C50" s="326"/>
      <c r="D50" s="123"/>
      <c r="E50" s="123"/>
      <c r="F50" s="355">
        <v>1940</v>
      </c>
      <c r="G50" s="355"/>
      <c r="M50" s="35"/>
    </row>
    <row r="51" spans="1:13" ht="15" customHeight="1">
      <c r="A51" s="34" t="s">
        <v>107</v>
      </c>
      <c r="B51" s="325" t="s">
        <v>726</v>
      </c>
      <c r="C51" s="326"/>
      <c r="D51" s="123"/>
      <c r="E51" s="123"/>
      <c r="F51" s="355">
        <v>2090</v>
      </c>
      <c r="G51" s="355"/>
      <c r="M51" s="35"/>
    </row>
    <row r="52" spans="1:13" ht="15" customHeight="1">
      <c r="A52" s="34" t="s">
        <v>120</v>
      </c>
      <c r="B52" s="368" t="s">
        <v>207</v>
      </c>
      <c r="C52" s="429"/>
      <c r="D52" s="129"/>
      <c r="E52" s="129"/>
      <c r="F52" s="355">
        <f>E27*1%</f>
        <v>1318.7051999999999</v>
      </c>
      <c r="G52" s="355"/>
      <c r="M52" s="35"/>
    </row>
    <row r="53" spans="1:13" ht="15">
      <c r="A53" s="176"/>
      <c r="B53" s="97"/>
      <c r="C53" s="97"/>
      <c r="D53" s="97"/>
      <c r="E53" s="97"/>
      <c r="F53" s="192"/>
      <c r="G53" s="192"/>
      <c r="M53" s="35"/>
    </row>
    <row r="54" s="71" customFormat="1" ht="15"/>
    <row r="55" spans="1:6" s="71" customFormat="1" ht="15">
      <c r="A55" s="71" t="s">
        <v>55</v>
      </c>
      <c r="C55" s="71" t="s">
        <v>49</v>
      </c>
      <c r="F55" s="71" t="s">
        <v>93</v>
      </c>
    </row>
    <row r="56" s="71" customFormat="1" ht="15">
      <c r="F56" s="132" t="s">
        <v>296</v>
      </c>
    </row>
    <row r="57" s="71" customFormat="1" ht="15">
      <c r="A57" s="71" t="s">
        <v>50</v>
      </c>
    </row>
    <row r="58" spans="3:7" s="71" customFormat="1" ht="15">
      <c r="C58" s="134" t="s">
        <v>51</v>
      </c>
      <c r="E58" s="134"/>
      <c r="F58" s="134"/>
      <c r="G58" s="134"/>
    </row>
    <row r="59" s="71" customFormat="1" ht="15"/>
  </sheetData>
  <sheetProtection/>
  <mergeCells count="32">
    <mergeCell ref="A12:I12"/>
    <mergeCell ref="F43:G43"/>
    <mergeCell ref="F46:G46"/>
    <mergeCell ref="A11:I11"/>
    <mergeCell ref="A1:I1"/>
    <mergeCell ref="A2:I2"/>
    <mergeCell ref="A3:K3"/>
    <mergeCell ref="A5:I5"/>
    <mergeCell ref="A10:I10"/>
    <mergeCell ref="A13:C13"/>
    <mergeCell ref="A35:C35"/>
    <mergeCell ref="B43:C43"/>
    <mergeCell ref="B44:C44"/>
    <mergeCell ref="B47:C47"/>
    <mergeCell ref="A38:B38"/>
    <mergeCell ref="A39:B40"/>
    <mergeCell ref="F50:G50"/>
    <mergeCell ref="B45:C45"/>
    <mergeCell ref="B46:C46"/>
    <mergeCell ref="F47:G47"/>
    <mergeCell ref="F44:G44"/>
    <mergeCell ref="F45:G45"/>
    <mergeCell ref="B51:C51"/>
    <mergeCell ref="B52:C52"/>
    <mergeCell ref="F51:G51"/>
    <mergeCell ref="F52:G52"/>
    <mergeCell ref="A41:I41"/>
    <mergeCell ref="B48:C48"/>
    <mergeCell ref="F48:G48"/>
    <mergeCell ref="B49:C49"/>
    <mergeCell ref="F49:G49"/>
    <mergeCell ref="B50:C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7030A0"/>
  </sheetPr>
  <dimension ref="A1:M60"/>
  <sheetViews>
    <sheetView zoomScalePageLayoutView="0" workbookViewId="0" topLeftCell="A23">
      <selection activeCell="G39" sqref="G39"/>
    </sheetView>
  </sheetViews>
  <sheetFormatPr defaultColWidth="9.140625" defaultRowHeight="15" outlineLevelCol="1"/>
  <cols>
    <col min="1" max="1" width="5.00390625" style="35" customWidth="1"/>
    <col min="2" max="2" width="48.7109375" style="35" customWidth="1"/>
    <col min="3" max="3" width="12.7109375" style="38" customWidth="1"/>
    <col min="4" max="5" width="12.7109375" style="35" customWidth="1"/>
    <col min="6" max="6" width="15.0039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10.00390625" style="249" bestFit="1" customWidth="1" collapsed="1"/>
    <col min="14" max="14" width="11.421875" style="35" bestFit="1" customWidth="1"/>
    <col min="15" max="16384" width="9.140625" style="35" customWidth="1"/>
  </cols>
  <sheetData>
    <row r="1" spans="1:6" ht="15">
      <c r="A1" s="71"/>
      <c r="B1" s="71"/>
      <c r="C1" s="71"/>
      <c r="D1" s="71"/>
      <c r="E1" s="71"/>
      <c r="F1" s="71"/>
    </row>
    <row r="3" spans="1:9" ht="15">
      <c r="A3" s="333" t="s">
        <v>0</v>
      </c>
      <c r="B3" s="333"/>
      <c r="C3" s="333"/>
      <c r="D3" s="333"/>
      <c r="E3" s="333"/>
      <c r="F3" s="333"/>
      <c r="G3" s="333"/>
      <c r="H3" s="333"/>
      <c r="I3" s="333"/>
    </row>
    <row r="4" spans="1:9" ht="15">
      <c r="A4" s="333" t="s">
        <v>52</v>
      </c>
      <c r="B4" s="333"/>
      <c r="C4" s="333"/>
      <c r="D4" s="333"/>
      <c r="E4" s="333"/>
      <c r="F4" s="333"/>
      <c r="G4" s="333"/>
      <c r="H4" s="333"/>
      <c r="I4" s="333"/>
    </row>
    <row r="5" spans="1:11" ht="15">
      <c r="A5" s="328" t="s">
        <v>380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6" spans="1:9" ht="15">
      <c r="A6" s="165"/>
      <c r="B6" s="165"/>
      <c r="C6" s="258"/>
      <c r="D6" s="165"/>
      <c r="E6" s="165"/>
      <c r="F6" s="165"/>
      <c r="G6" s="165"/>
      <c r="H6" s="165"/>
      <c r="I6" s="165"/>
    </row>
    <row r="7" spans="1:9" ht="15">
      <c r="A7" s="334" t="s">
        <v>1</v>
      </c>
      <c r="B7" s="333"/>
      <c r="C7" s="333"/>
      <c r="D7" s="333"/>
      <c r="E7" s="333"/>
      <c r="F7" s="333"/>
      <c r="G7" s="333"/>
      <c r="H7" s="333"/>
      <c r="I7" s="333"/>
    </row>
    <row r="9" spans="1:11" ht="15">
      <c r="A9" s="71" t="s">
        <v>2</v>
      </c>
      <c r="B9" s="71"/>
      <c r="C9" s="131"/>
      <c r="D9" s="71"/>
      <c r="E9" s="71"/>
      <c r="F9" s="132" t="s">
        <v>146</v>
      </c>
      <c r="G9" s="71"/>
      <c r="H9" s="71"/>
      <c r="I9" s="71"/>
      <c r="J9" s="71"/>
      <c r="K9" s="71"/>
    </row>
    <row r="10" spans="1:11" ht="15">
      <c r="A10" s="71" t="s">
        <v>3</v>
      </c>
      <c r="B10" s="71"/>
      <c r="C10" s="131"/>
      <c r="D10" s="71"/>
      <c r="E10" s="71"/>
      <c r="F10" s="259" t="s">
        <v>512</v>
      </c>
      <c r="G10" s="71"/>
      <c r="H10" s="240">
        <f>254.6+245.8</f>
        <v>500.4</v>
      </c>
      <c r="I10" s="71">
        <f>4383.1+500.4</f>
        <v>4883.5</v>
      </c>
      <c r="J10" s="71"/>
      <c r="K10" s="71"/>
    </row>
    <row r="11" spans="1:11" ht="15">
      <c r="A11" s="71"/>
      <c r="B11" s="71"/>
      <c r="C11" s="131"/>
      <c r="D11" s="71"/>
      <c r="E11" s="71"/>
      <c r="F11" s="71"/>
      <c r="G11" s="71"/>
      <c r="H11" s="71"/>
      <c r="I11" s="71"/>
      <c r="J11" s="71"/>
      <c r="K11" s="71"/>
    </row>
    <row r="12" spans="1:11" ht="15">
      <c r="A12" s="318" t="s">
        <v>8</v>
      </c>
      <c r="B12" s="318"/>
      <c r="C12" s="318"/>
      <c r="D12" s="318"/>
      <c r="E12" s="318"/>
      <c r="F12" s="318"/>
      <c r="G12" s="318"/>
      <c r="H12" s="318"/>
      <c r="I12" s="318"/>
      <c r="J12" s="71"/>
      <c r="K12" s="71"/>
    </row>
    <row r="13" spans="1:11" ht="15">
      <c r="A13" s="318" t="s">
        <v>9</v>
      </c>
      <c r="B13" s="318"/>
      <c r="C13" s="318"/>
      <c r="D13" s="318"/>
      <c r="E13" s="318"/>
      <c r="F13" s="318"/>
      <c r="G13" s="318"/>
      <c r="H13" s="318"/>
      <c r="I13" s="318"/>
      <c r="J13" s="71"/>
      <c r="K13" s="71"/>
    </row>
    <row r="14" spans="1:11" ht="15.75" thickBot="1">
      <c r="A14" s="318" t="s">
        <v>10</v>
      </c>
      <c r="B14" s="318"/>
      <c r="C14" s="318"/>
      <c r="D14" s="318"/>
      <c r="E14" s="318"/>
      <c r="F14" s="318"/>
      <c r="G14" s="318"/>
      <c r="H14" s="318"/>
      <c r="I14" s="318"/>
      <c r="J14" s="71"/>
      <c r="K14" s="71"/>
    </row>
    <row r="15" spans="1:11" ht="15.75" thickBot="1">
      <c r="A15" s="319" t="s">
        <v>419</v>
      </c>
      <c r="B15" s="431"/>
      <c r="C15" s="431"/>
      <c r="D15" s="308">
        <v>907950.38</v>
      </c>
      <c r="E15" s="70"/>
      <c r="F15" s="70"/>
      <c r="G15" s="70"/>
      <c r="H15" s="66"/>
      <c r="I15" s="66"/>
      <c r="J15" s="71"/>
      <c r="K15" s="71"/>
    </row>
    <row r="16" spans="1:11" ht="15.75" thickBot="1">
      <c r="A16" s="67" t="s">
        <v>514</v>
      </c>
      <c r="B16" s="68"/>
      <c r="C16" s="260"/>
      <c r="D16" s="73"/>
      <c r="E16" s="74"/>
      <c r="F16" s="74"/>
      <c r="G16" s="69">
        <f>'[1]Аллейная 2'!$G$38</f>
        <v>-46172.89869999999</v>
      </c>
      <c r="H16" s="66"/>
      <c r="I16" s="66"/>
      <c r="J16" s="71"/>
      <c r="K16" s="71"/>
    </row>
    <row r="17" spans="1:11" ht="15">
      <c r="A17" s="71"/>
      <c r="B17" s="71"/>
      <c r="C17" s="131"/>
      <c r="D17" s="71"/>
      <c r="E17" s="71"/>
      <c r="F17" s="71"/>
      <c r="G17" s="71"/>
      <c r="H17" s="71"/>
      <c r="I17" s="71"/>
      <c r="J17" s="71"/>
      <c r="K17" s="71"/>
    </row>
    <row r="18" spans="1:11" ht="38.25">
      <c r="A18" s="76" t="s">
        <v>11</v>
      </c>
      <c r="B18" s="76" t="s">
        <v>12</v>
      </c>
      <c r="C18" s="76" t="s">
        <v>94</v>
      </c>
      <c r="D18" s="76" t="s">
        <v>466</v>
      </c>
      <c r="E18" s="76" t="s">
        <v>284</v>
      </c>
      <c r="F18" s="77" t="s">
        <v>298</v>
      </c>
      <c r="G18" s="76" t="s">
        <v>299</v>
      </c>
      <c r="H18" s="78"/>
      <c r="I18" s="78"/>
      <c r="J18" s="78"/>
      <c r="K18" s="78"/>
    </row>
    <row r="19" spans="1:11" ht="15">
      <c r="A19" s="79" t="s">
        <v>14</v>
      </c>
      <c r="B19" s="41" t="s">
        <v>15</v>
      </c>
      <c r="C19" s="57">
        <f>C20+C21+C22+C23+C24</f>
        <v>13.469999999999999</v>
      </c>
      <c r="D19" s="80">
        <f>697080.67</f>
        <v>697080.67</v>
      </c>
      <c r="E19" s="80">
        <f>739853.39</f>
        <v>739853.39</v>
      </c>
      <c r="F19" s="80">
        <f>F20+F21+F22+F23+F24</f>
        <v>697080.6700000002</v>
      </c>
      <c r="G19" s="81">
        <f aca="true" t="shared" si="0" ref="G19:G24">E19-D19</f>
        <v>42772.71999999997</v>
      </c>
      <c r="H19" s="82">
        <f aca="true" t="shared" si="1" ref="H19:H24">C19</f>
        <v>13.469999999999999</v>
      </c>
      <c r="I19" s="175"/>
      <c r="J19" s="175">
        <f>D19/C19/12</f>
        <v>4312.550544419699</v>
      </c>
      <c r="K19" s="175"/>
    </row>
    <row r="20" spans="1:11" ht="15">
      <c r="A20" s="85" t="s">
        <v>16</v>
      </c>
      <c r="B20" s="34" t="s">
        <v>17</v>
      </c>
      <c r="C20" s="37">
        <v>3.34</v>
      </c>
      <c r="D20" s="87">
        <f>D19*I20</f>
        <v>172847.0258203415</v>
      </c>
      <c r="E20" s="87">
        <f>E19*I20</f>
        <v>183452.88215293246</v>
      </c>
      <c r="F20" s="87">
        <f aca="true" t="shared" si="2" ref="F20:F28">D20</f>
        <v>172847.0258203415</v>
      </c>
      <c r="G20" s="88">
        <f t="shared" si="0"/>
        <v>10605.856332590949</v>
      </c>
      <c r="H20" s="82">
        <f t="shared" si="1"/>
        <v>3.34</v>
      </c>
      <c r="I20" s="71">
        <f>H20/H19</f>
        <v>0.24795842613214553</v>
      </c>
      <c r="J20" s="71"/>
      <c r="K20" s="71"/>
    </row>
    <row r="21" spans="1:11" ht="15">
      <c r="A21" s="85" t="s">
        <v>18</v>
      </c>
      <c r="B21" s="34" t="s">
        <v>19</v>
      </c>
      <c r="C21" s="89">
        <v>1.63</v>
      </c>
      <c r="D21" s="87">
        <f>D19*I21</f>
        <v>84353.48864884929</v>
      </c>
      <c r="E21" s="87">
        <f>E19*I21</f>
        <v>89529.40057164068</v>
      </c>
      <c r="F21" s="87">
        <f t="shared" si="2"/>
        <v>84353.48864884929</v>
      </c>
      <c r="G21" s="88">
        <f t="shared" si="0"/>
        <v>5175.911922791391</v>
      </c>
      <c r="H21" s="82">
        <f t="shared" si="1"/>
        <v>1.63</v>
      </c>
      <c r="I21" s="71">
        <f>H21/H19</f>
        <v>0.12100965107646622</v>
      </c>
      <c r="J21" s="71"/>
      <c r="K21" s="71"/>
    </row>
    <row r="22" spans="1:11" ht="15">
      <c r="A22" s="85" t="s">
        <v>20</v>
      </c>
      <c r="B22" s="34" t="s">
        <v>21</v>
      </c>
      <c r="C22" s="89">
        <v>2.07</v>
      </c>
      <c r="D22" s="87">
        <f>D19*I22</f>
        <v>107123.7555233853</v>
      </c>
      <c r="E22" s="87">
        <f>E19*I22</f>
        <v>113696.8461247216</v>
      </c>
      <c r="F22" s="87">
        <f t="shared" si="2"/>
        <v>107123.7555233853</v>
      </c>
      <c r="G22" s="88">
        <f t="shared" si="0"/>
        <v>6573.090601336298</v>
      </c>
      <c r="H22" s="82">
        <f t="shared" si="1"/>
        <v>2.07</v>
      </c>
      <c r="I22" s="71">
        <f>H22/H19</f>
        <v>0.15367483296213807</v>
      </c>
      <c r="J22" s="71"/>
      <c r="K22" s="71"/>
    </row>
    <row r="23" spans="1:11" ht="15">
      <c r="A23" s="85" t="s">
        <v>22</v>
      </c>
      <c r="B23" s="34" t="s">
        <v>23</v>
      </c>
      <c r="C23" s="89">
        <v>2.93</v>
      </c>
      <c r="D23" s="87">
        <f>D19*I23</f>
        <v>151629.27714179663</v>
      </c>
      <c r="E23" s="87">
        <f>E19*I23</f>
        <v>160933.2169784707</v>
      </c>
      <c r="F23" s="87">
        <f t="shared" si="2"/>
        <v>151629.27714179663</v>
      </c>
      <c r="G23" s="88">
        <f t="shared" si="0"/>
        <v>9303.939836674079</v>
      </c>
      <c r="H23" s="82">
        <f t="shared" si="1"/>
        <v>2.93</v>
      </c>
      <c r="I23" s="71">
        <f>H23/H19</f>
        <v>0.21752041573867859</v>
      </c>
      <c r="J23" s="71"/>
      <c r="K23" s="71"/>
    </row>
    <row r="24" spans="1:11" ht="15">
      <c r="A24" s="85" t="s">
        <v>24</v>
      </c>
      <c r="B24" s="34" t="s">
        <v>149</v>
      </c>
      <c r="C24" s="89">
        <v>3.5</v>
      </c>
      <c r="D24" s="87">
        <f>D19*I24</f>
        <v>181127.12286562735</v>
      </c>
      <c r="E24" s="87">
        <f>E19*I24</f>
        <v>192241.0441722346</v>
      </c>
      <c r="F24" s="87">
        <f t="shared" si="2"/>
        <v>181127.12286562735</v>
      </c>
      <c r="G24" s="88">
        <f t="shared" si="0"/>
        <v>11113.921306607255</v>
      </c>
      <c r="H24" s="82">
        <f t="shared" si="1"/>
        <v>3.5</v>
      </c>
      <c r="I24" s="71">
        <f>H24/H19</f>
        <v>0.25983667409057165</v>
      </c>
      <c r="J24" s="71"/>
      <c r="K24" s="71"/>
    </row>
    <row r="25" spans="1:11" ht="29.25">
      <c r="A25" s="41" t="s">
        <v>25</v>
      </c>
      <c r="B25" s="41" t="s">
        <v>513</v>
      </c>
      <c r="C25" s="46">
        <v>7.15</v>
      </c>
      <c r="D25" s="265">
        <v>408273.9</v>
      </c>
      <c r="E25" s="80">
        <v>389201.38</v>
      </c>
      <c r="F25" s="265">
        <f>F55</f>
        <v>470551</v>
      </c>
      <c r="G25" s="81">
        <f aca="true" t="shared" si="3" ref="G25:G30">E25-D25</f>
        <v>-19072.52000000002</v>
      </c>
      <c r="H25" s="82"/>
      <c r="I25" s="71"/>
      <c r="J25" s="71"/>
      <c r="K25" s="71"/>
    </row>
    <row r="26" spans="1:11" ht="15">
      <c r="A26" s="41" t="s">
        <v>27</v>
      </c>
      <c r="B26" s="41" t="s">
        <v>26</v>
      </c>
      <c r="C26" s="94">
        <v>3.72</v>
      </c>
      <c r="D26" s="81">
        <v>192191.73</v>
      </c>
      <c r="E26" s="81">
        <v>181090.76</v>
      </c>
      <c r="F26" s="80">
        <f>D26</f>
        <v>192191.73</v>
      </c>
      <c r="G26" s="81">
        <f t="shared" si="3"/>
        <v>-11100.970000000001</v>
      </c>
      <c r="H26" s="39"/>
      <c r="I26" s="39"/>
      <c r="J26" s="39"/>
      <c r="K26" s="39"/>
    </row>
    <row r="27" spans="1:11" ht="15">
      <c r="A27" s="41" t="s">
        <v>29</v>
      </c>
      <c r="B27" s="41" t="s">
        <v>28</v>
      </c>
      <c r="C27" s="94">
        <v>0</v>
      </c>
      <c r="D27" s="81">
        <v>0</v>
      </c>
      <c r="E27" s="81">
        <v>0</v>
      </c>
      <c r="F27" s="81">
        <f t="shared" si="2"/>
        <v>0</v>
      </c>
      <c r="G27" s="81">
        <f t="shared" si="3"/>
        <v>0</v>
      </c>
      <c r="H27" s="39"/>
      <c r="I27" s="39"/>
      <c r="J27" s="39"/>
      <c r="K27" s="39"/>
    </row>
    <row r="28" spans="1:11" ht="15">
      <c r="A28" s="41" t="s">
        <v>31</v>
      </c>
      <c r="B28" s="41" t="s">
        <v>170</v>
      </c>
      <c r="C28" s="94">
        <v>0</v>
      </c>
      <c r="D28" s="81">
        <v>0</v>
      </c>
      <c r="E28" s="81">
        <v>0</v>
      </c>
      <c r="F28" s="81">
        <f t="shared" si="2"/>
        <v>0</v>
      </c>
      <c r="G28" s="81">
        <f t="shared" si="3"/>
        <v>0</v>
      </c>
      <c r="H28" s="39"/>
      <c r="I28" s="39"/>
      <c r="J28" s="39"/>
      <c r="K28" s="39"/>
    </row>
    <row r="29" spans="1:13" ht="15">
      <c r="A29" s="41" t="s">
        <v>225</v>
      </c>
      <c r="B29" s="41" t="s">
        <v>119</v>
      </c>
      <c r="C29" s="94">
        <v>1.99</v>
      </c>
      <c r="D29" s="81">
        <v>102519.93</v>
      </c>
      <c r="E29" s="81">
        <v>105024.48</v>
      </c>
      <c r="F29" s="91">
        <f>F46</f>
        <v>133842.17479999998</v>
      </c>
      <c r="G29" s="81">
        <f t="shared" si="3"/>
        <v>2504.550000000003</v>
      </c>
      <c r="H29" s="39"/>
      <c r="I29" s="39"/>
      <c r="J29" s="39"/>
      <c r="K29" s="39"/>
      <c r="M29" s="262"/>
    </row>
    <row r="30" spans="1:11" ht="15">
      <c r="A30" s="41" t="s">
        <v>395</v>
      </c>
      <c r="B30" s="41" t="s">
        <v>34</v>
      </c>
      <c r="C30" s="94">
        <v>0</v>
      </c>
      <c r="D30" s="81">
        <v>0</v>
      </c>
      <c r="E30" s="81">
        <v>0</v>
      </c>
      <c r="F30" s="91">
        <v>0</v>
      </c>
      <c r="G30" s="81">
        <f t="shared" si="3"/>
        <v>0</v>
      </c>
      <c r="H30" s="39"/>
      <c r="I30" s="39"/>
      <c r="J30" s="39"/>
      <c r="K30" s="39"/>
    </row>
    <row r="31" spans="1:11" ht="15">
      <c r="A31" s="41" t="s">
        <v>230</v>
      </c>
      <c r="B31" s="41" t="s">
        <v>36</v>
      </c>
      <c r="C31" s="94"/>
      <c r="D31" s="81">
        <f>SUM(D32:D35)</f>
        <v>1915522.2400000002</v>
      </c>
      <c r="E31" s="81">
        <f>SUM(E32:E35)</f>
        <v>1963140.96</v>
      </c>
      <c r="F31" s="81">
        <f>SUM(F32:F35)</f>
        <v>1915522.2400000002</v>
      </c>
      <c r="G31" s="81">
        <f>SUM(G32:G35)</f>
        <v>47618.72000000009</v>
      </c>
      <c r="H31" s="39"/>
      <c r="I31" s="39"/>
      <c r="J31" s="39"/>
      <c r="K31" s="39"/>
    </row>
    <row r="32" spans="1:7" ht="15">
      <c r="A32" s="34" t="s">
        <v>232</v>
      </c>
      <c r="B32" s="34" t="s">
        <v>184</v>
      </c>
      <c r="C32" s="43" t="s">
        <v>300</v>
      </c>
      <c r="D32" s="88">
        <v>559318.64</v>
      </c>
      <c r="E32" s="88">
        <v>563973.91</v>
      </c>
      <c r="F32" s="88">
        <f>D32</f>
        <v>559318.64</v>
      </c>
      <c r="G32" s="88">
        <f>E32-D32</f>
        <v>4655.270000000019</v>
      </c>
    </row>
    <row r="33" spans="1:7" ht="15">
      <c r="A33" s="34" t="s">
        <v>233</v>
      </c>
      <c r="B33" s="34" t="s">
        <v>142</v>
      </c>
      <c r="C33" s="103" t="s">
        <v>315</v>
      </c>
      <c r="D33" s="88">
        <v>320769.11</v>
      </c>
      <c r="E33" s="88">
        <v>348298.69</v>
      </c>
      <c r="F33" s="88">
        <f>D33</f>
        <v>320769.11</v>
      </c>
      <c r="G33" s="88">
        <f>E33-D33</f>
        <v>27529.580000000016</v>
      </c>
    </row>
    <row r="34" spans="1:7" ht="15">
      <c r="A34" s="34" t="s">
        <v>234</v>
      </c>
      <c r="B34" s="34" t="s">
        <v>143</v>
      </c>
      <c r="C34" s="43"/>
      <c r="D34" s="88">
        <v>420863.85</v>
      </c>
      <c r="E34" s="88">
        <v>421671.2</v>
      </c>
      <c r="F34" s="88">
        <f>D34</f>
        <v>420863.85</v>
      </c>
      <c r="G34" s="88">
        <f>E34-D34</f>
        <v>807.3500000000349</v>
      </c>
    </row>
    <row r="35" spans="1:7" ht="15">
      <c r="A35" s="34" t="s">
        <v>235</v>
      </c>
      <c r="B35" s="34" t="s">
        <v>43</v>
      </c>
      <c r="C35" s="37"/>
      <c r="D35" s="88">
        <v>614570.64</v>
      </c>
      <c r="E35" s="88">
        <v>629197.16</v>
      </c>
      <c r="F35" s="88">
        <f>D35</f>
        <v>614570.64</v>
      </c>
      <c r="G35" s="88">
        <f>E35-D35</f>
        <v>14626.520000000019</v>
      </c>
    </row>
    <row r="36" spans="1:11" ht="15.75" thickBot="1">
      <c r="A36" s="108"/>
      <c r="B36" s="108"/>
      <c r="C36" s="263"/>
      <c r="D36" s="105"/>
      <c r="E36" s="105"/>
      <c r="F36" s="105"/>
      <c r="G36" s="105"/>
      <c r="H36" s="105"/>
      <c r="I36" s="105"/>
      <c r="J36" s="105"/>
      <c r="K36" s="106"/>
    </row>
    <row r="37" spans="1:11" ht="15.75" thickBot="1">
      <c r="A37" s="319" t="s">
        <v>420</v>
      </c>
      <c r="B37" s="320"/>
      <c r="C37" s="320"/>
      <c r="D37" s="69">
        <f>D15+D19+D25+D26+D27+D28+D29+D30+D31-E19-E25-E26-E27-E28-E29-E30-E31</f>
        <v>845227.8800000004</v>
      </c>
      <c r="E37" s="70"/>
      <c r="F37" s="70"/>
      <c r="G37" s="70"/>
      <c r="H37" s="66"/>
      <c r="I37" s="66"/>
      <c r="J37" s="71"/>
      <c r="K37" s="71"/>
    </row>
    <row r="38" spans="1:11" ht="15.75" thickBot="1">
      <c r="A38" s="264"/>
      <c r="B38" s="72"/>
      <c r="C38" s="72"/>
      <c r="D38" s="233"/>
      <c r="E38" s="70"/>
      <c r="F38" s="70"/>
      <c r="G38" s="70"/>
      <c r="H38" s="66"/>
      <c r="I38" s="66"/>
      <c r="J38" s="71"/>
      <c r="K38" s="71"/>
    </row>
    <row r="39" spans="1:13" ht="15.75" thickBot="1">
      <c r="A39" s="67" t="s">
        <v>558</v>
      </c>
      <c r="B39" s="68"/>
      <c r="C39" s="260"/>
      <c r="D39" s="73"/>
      <c r="E39" s="74"/>
      <c r="F39" s="74"/>
      <c r="G39" s="151">
        <f>G16+E29-F29</f>
        <v>-74990.59349999997</v>
      </c>
      <c r="H39" s="66"/>
      <c r="I39" s="66"/>
      <c r="J39" s="71"/>
      <c r="K39" s="71"/>
      <c r="M39" s="262"/>
    </row>
    <row r="40" spans="1:11" ht="15">
      <c r="A40" s="418" t="s">
        <v>150</v>
      </c>
      <c r="B40" s="418"/>
      <c r="C40" s="72"/>
      <c r="D40" s="40"/>
      <c r="E40" s="70"/>
      <c r="F40" s="70"/>
      <c r="G40" s="40"/>
      <c r="H40" s="66"/>
      <c r="I40" s="66"/>
      <c r="J40" s="71"/>
      <c r="K40" s="71"/>
    </row>
    <row r="41" spans="1:11" ht="15">
      <c r="A41" s="419" t="s">
        <v>151</v>
      </c>
      <c r="B41" s="420"/>
      <c r="C41" s="44" t="s">
        <v>152</v>
      </c>
      <c r="D41" s="44" t="s">
        <v>153</v>
      </c>
      <c r="E41" s="45" t="s">
        <v>154</v>
      </c>
      <c r="F41" s="42" t="s">
        <v>155</v>
      </c>
      <c r="G41" s="45" t="s">
        <v>156</v>
      </c>
      <c r="H41" s="66"/>
      <c r="I41" s="66"/>
      <c r="J41" s="71"/>
      <c r="K41" s="71"/>
    </row>
    <row r="42" spans="1:11" ht="15">
      <c r="A42" s="421"/>
      <c r="B42" s="422"/>
      <c r="C42" s="240">
        <f>254.6+245.8</f>
        <v>500.4</v>
      </c>
      <c r="D42" s="160">
        <f>E42/12/C42</f>
        <v>26.32999600319744</v>
      </c>
      <c r="E42" s="255">
        <v>158106.36</v>
      </c>
      <c r="F42" s="255">
        <v>170801.51</v>
      </c>
      <c r="G42" s="160">
        <f>E42-F42</f>
        <v>-12695.150000000023</v>
      </c>
      <c r="H42" s="209"/>
      <c r="I42" s="209"/>
      <c r="J42" s="71"/>
      <c r="K42" s="71"/>
    </row>
    <row r="43" spans="1:9" ht="15">
      <c r="A43" s="372" t="s">
        <v>44</v>
      </c>
      <c r="B43" s="423"/>
      <c r="C43" s="423"/>
      <c r="D43" s="423"/>
      <c r="E43" s="423"/>
      <c r="F43" s="423"/>
      <c r="G43" s="423"/>
      <c r="H43" s="210"/>
      <c r="I43" s="210"/>
    </row>
    <row r="45" spans="1:11" ht="28.5">
      <c r="A45" s="109" t="s">
        <v>11</v>
      </c>
      <c r="B45" s="340" t="s">
        <v>45</v>
      </c>
      <c r="C45" s="352"/>
      <c r="D45" s="109" t="s">
        <v>172</v>
      </c>
      <c r="E45" s="109" t="s">
        <v>171</v>
      </c>
      <c r="F45" s="340" t="s">
        <v>46</v>
      </c>
      <c r="G45" s="352"/>
      <c r="H45" s="179"/>
      <c r="I45" s="179"/>
      <c r="J45" s="179"/>
      <c r="K45" s="179"/>
    </row>
    <row r="46" spans="1:11" ht="15">
      <c r="A46" s="113" t="s">
        <v>47</v>
      </c>
      <c r="B46" s="342" t="s">
        <v>114</v>
      </c>
      <c r="C46" s="345"/>
      <c r="D46" s="115"/>
      <c r="E46" s="115"/>
      <c r="F46" s="356">
        <f>SUM(F47:G54)</f>
        <v>133842.17479999998</v>
      </c>
      <c r="G46" s="351"/>
      <c r="H46" s="119"/>
      <c r="I46" s="119"/>
      <c r="J46" s="119"/>
      <c r="K46" s="119"/>
    </row>
    <row r="47" spans="1:7" ht="39" customHeight="1">
      <c r="A47" s="34" t="s">
        <v>16</v>
      </c>
      <c r="B47" s="325" t="s">
        <v>515</v>
      </c>
      <c r="C47" s="327"/>
      <c r="D47" s="123" t="s">
        <v>173</v>
      </c>
      <c r="E47" s="123">
        <v>4</v>
      </c>
      <c r="F47" s="366">
        <v>26943.07</v>
      </c>
      <c r="G47" s="367"/>
    </row>
    <row r="48" spans="1:7" ht="15">
      <c r="A48" s="34" t="s">
        <v>18</v>
      </c>
      <c r="B48" s="325" t="s">
        <v>516</v>
      </c>
      <c r="C48" s="327"/>
      <c r="D48" s="123" t="s">
        <v>173</v>
      </c>
      <c r="E48" s="123">
        <v>1</v>
      </c>
      <c r="F48" s="366">
        <v>5161.16</v>
      </c>
      <c r="G48" s="367"/>
    </row>
    <row r="49" spans="1:7" ht="15">
      <c r="A49" s="34" t="s">
        <v>20</v>
      </c>
      <c r="B49" s="325" t="s">
        <v>517</v>
      </c>
      <c r="C49" s="327"/>
      <c r="D49" s="123" t="s">
        <v>261</v>
      </c>
      <c r="E49" s="123">
        <v>0.35</v>
      </c>
      <c r="F49" s="366">
        <v>65159.72</v>
      </c>
      <c r="G49" s="367"/>
    </row>
    <row r="50" spans="1:7" ht="15">
      <c r="A50" s="34" t="s">
        <v>22</v>
      </c>
      <c r="B50" s="325" t="s">
        <v>747</v>
      </c>
      <c r="C50" s="327"/>
      <c r="D50" s="123" t="s">
        <v>173</v>
      </c>
      <c r="E50" s="123">
        <v>1</v>
      </c>
      <c r="F50" s="366">
        <v>2101.98</v>
      </c>
      <c r="G50" s="367"/>
    </row>
    <row r="51" spans="1:7" ht="15">
      <c r="A51" s="34" t="s">
        <v>24</v>
      </c>
      <c r="B51" s="325" t="s">
        <v>748</v>
      </c>
      <c r="C51" s="327"/>
      <c r="D51" s="123"/>
      <c r="E51" s="123"/>
      <c r="F51" s="366">
        <v>23000</v>
      </c>
      <c r="G51" s="367"/>
    </row>
    <row r="52" spans="1:7" ht="15">
      <c r="A52" s="34" t="s">
        <v>106</v>
      </c>
      <c r="B52" s="325" t="s">
        <v>749</v>
      </c>
      <c r="C52" s="327"/>
      <c r="D52" s="123"/>
      <c r="E52" s="123"/>
      <c r="F52" s="366">
        <v>3400</v>
      </c>
      <c r="G52" s="367"/>
    </row>
    <row r="53" spans="1:7" ht="15">
      <c r="A53" s="34" t="s">
        <v>107</v>
      </c>
      <c r="B53" s="325" t="s">
        <v>750</v>
      </c>
      <c r="C53" s="327"/>
      <c r="D53" s="123"/>
      <c r="E53" s="123"/>
      <c r="F53" s="366">
        <v>7026</v>
      </c>
      <c r="G53" s="367"/>
    </row>
    <row r="54" spans="1:7" ht="15">
      <c r="A54" s="34" t="s">
        <v>120</v>
      </c>
      <c r="B54" s="364" t="s">
        <v>207</v>
      </c>
      <c r="C54" s="365"/>
      <c r="D54" s="129"/>
      <c r="E54" s="129"/>
      <c r="F54" s="355">
        <f>E29*1%</f>
        <v>1050.2448</v>
      </c>
      <c r="G54" s="355"/>
    </row>
    <row r="55" spans="1:11" ht="15">
      <c r="A55" s="41" t="s">
        <v>25</v>
      </c>
      <c r="B55" s="432" t="s">
        <v>572</v>
      </c>
      <c r="C55" s="433"/>
      <c r="D55" s="123"/>
      <c r="E55" s="123"/>
      <c r="F55" s="434">
        <f>SUM(F56:F57)</f>
        <v>470551</v>
      </c>
      <c r="G55" s="435"/>
      <c r="H55" s="71"/>
      <c r="I55" s="71"/>
      <c r="J55" s="71"/>
      <c r="K55" s="71"/>
    </row>
    <row r="56" spans="1:11" ht="26.25">
      <c r="A56" s="34" t="s">
        <v>708</v>
      </c>
      <c r="B56" s="325" t="s">
        <v>680</v>
      </c>
      <c r="C56" s="430"/>
      <c r="D56" s="123">
        <v>1</v>
      </c>
      <c r="E56" s="123" t="s">
        <v>317</v>
      </c>
      <c r="F56" s="366">
        <v>50551</v>
      </c>
      <c r="G56" s="367"/>
      <c r="H56" s="71"/>
      <c r="I56" s="71"/>
      <c r="J56" s="71"/>
      <c r="K56" s="71"/>
    </row>
    <row r="57" spans="1:11" ht="15">
      <c r="A57" s="34" t="s">
        <v>709</v>
      </c>
      <c r="B57" s="364" t="s">
        <v>751</v>
      </c>
      <c r="C57" s="365"/>
      <c r="D57" s="129"/>
      <c r="E57" s="129"/>
      <c r="F57" s="355">
        <f>35000*12</f>
        <v>420000</v>
      </c>
      <c r="G57" s="355"/>
      <c r="H57" s="71"/>
      <c r="I57" s="71"/>
      <c r="J57" s="71"/>
      <c r="K57" s="71"/>
    </row>
    <row r="58" spans="1:11" ht="15">
      <c r="A58" s="71"/>
      <c r="B58" s="71"/>
      <c r="C58" s="131"/>
      <c r="D58" s="71"/>
      <c r="E58" s="71"/>
      <c r="F58" s="71"/>
      <c r="G58" s="71"/>
      <c r="H58" s="71"/>
      <c r="I58" s="71"/>
      <c r="J58" s="71"/>
      <c r="K58" s="71"/>
    </row>
    <row r="59" spans="1:11" ht="15">
      <c r="A59" s="71"/>
      <c r="B59" s="71" t="s">
        <v>49</v>
      </c>
      <c r="C59" s="71"/>
      <c r="D59" s="71"/>
      <c r="E59" s="71" t="s">
        <v>93</v>
      </c>
      <c r="F59" s="71"/>
      <c r="G59" s="71"/>
      <c r="H59" s="71"/>
      <c r="I59" s="71"/>
      <c r="J59" s="71"/>
      <c r="K59" s="71"/>
    </row>
    <row r="60" spans="1:6" ht="15">
      <c r="A60" s="71"/>
      <c r="B60" s="71"/>
      <c r="C60" s="71"/>
      <c r="D60" s="71"/>
      <c r="E60" s="132" t="s">
        <v>296</v>
      </c>
      <c r="F60" s="71"/>
    </row>
  </sheetData>
  <sheetProtection/>
  <mergeCells count="38">
    <mergeCell ref="B48:C48"/>
    <mergeCell ref="F48:G48"/>
    <mergeCell ref="B49:C49"/>
    <mergeCell ref="F49:G49"/>
    <mergeCell ref="B57:C57"/>
    <mergeCell ref="F57:G57"/>
    <mergeCell ref="B55:C55"/>
    <mergeCell ref="F55:G55"/>
    <mergeCell ref="F56:G56"/>
    <mergeCell ref="B50:C50"/>
    <mergeCell ref="B45:C45"/>
    <mergeCell ref="F45:G45"/>
    <mergeCell ref="B46:C46"/>
    <mergeCell ref="F46:G46"/>
    <mergeCell ref="B47:C47"/>
    <mergeCell ref="F47:G47"/>
    <mergeCell ref="A14:I14"/>
    <mergeCell ref="A15:C15"/>
    <mergeCell ref="A37:C37"/>
    <mergeCell ref="A40:B40"/>
    <mergeCell ref="A41:B42"/>
    <mergeCell ref="A43:G43"/>
    <mergeCell ref="A3:I3"/>
    <mergeCell ref="A4:I4"/>
    <mergeCell ref="A5:K5"/>
    <mergeCell ref="A7:I7"/>
    <mergeCell ref="A12:I12"/>
    <mergeCell ref="A13:I13"/>
    <mergeCell ref="B54:C54"/>
    <mergeCell ref="F54:G54"/>
    <mergeCell ref="B56:C56"/>
    <mergeCell ref="F50:G50"/>
    <mergeCell ref="B51:C51"/>
    <mergeCell ref="F51:G51"/>
    <mergeCell ref="B52:C52"/>
    <mergeCell ref="F52:G52"/>
    <mergeCell ref="B53:C53"/>
    <mergeCell ref="F53:G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7030A0"/>
  </sheetPr>
  <dimension ref="A1:L52"/>
  <sheetViews>
    <sheetView zoomScalePageLayoutView="0" workbookViewId="0" topLeftCell="A22">
      <selection activeCell="G37" sqref="G37"/>
    </sheetView>
  </sheetViews>
  <sheetFormatPr defaultColWidth="9.140625" defaultRowHeight="15" outlineLevelCol="1"/>
  <cols>
    <col min="1" max="1" width="5.7109375" style="61" customWidth="1"/>
    <col min="2" max="2" width="49.8515625" style="61" customWidth="1"/>
    <col min="3" max="3" width="13.28125" style="61" customWidth="1"/>
    <col min="4" max="4" width="14.8515625" style="61" customWidth="1"/>
    <col min="5" max="5" width="12.57421875" style="61" customWidth="1"/>
    <col min="6" max="6" width="12.421875" style="61" customWidth="1"/>
    <col min="7" max="7" width="14.57421875" style="61" customWidth="1"/>
    <col min="8" max="9" width="11.57421875" style="61" hidden="1" customWidth="1" outlineLevel="1"/>
    <col min="10" max="10" width="9.140625" style="61" customWidth="1" collapsed="1"/>
    <col min="11" max="11" width="10.00390625" style="61" bestFit="1" customWidth="1"/>
    <col min="12" max="12" width="15.8515625" style="61" customWidth="1"/>
    <col min="13" max="16384" width="9.140625" style="61" customWidth="1"/>
  </cols>
  <sheetData>
    <row r="1" spans="1:9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</row>
    <row r="3" spans="1:9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</row>
    <row r="4" spans="1:9" ht="9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</row>
    <row r="7" spans="1:8" s="63" customFormat="1" ht="16.5" customHeight="1">
      <c r="A7" s="63" t="s">
        <v>2</v>
      </c>
      <c r="F7" s="64" t="s">
        <v>157</v>
      </c>
      <c r="H7" s="64"/>
    </row>
    <row r="8" spans="1:9" s="63" customFormat="1" ht="12.75">
      <c r="A8" s="63" t="s">
        <v>3</v>
      </c>
      <c r="F8" s="266" t="s">
        <v>567</v>
      </c>
      <c r="H8" s="64">
        <f>106.5+74.4+73.2</f>
        <v>254.10000000000002</v>
      </c>
      <c r="I8" s="267">
        <f>2214.3+254.1</f>
        <v>2468.4</v>
      </c>
    </row>
    <row r="9" spans="1:9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</row>
    <row r="10" spans="1:9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</row>
    <row r="11" spans="1:9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6.5" customHeight="1" thickBot="1">
      <c r="A12" s="319" t="s">
        <v>419</v>
      </c>
      <c r="B12" s="320"/>
      <c r="C12" s="320"/>
      <c r="D12" s="51">
        <v>270194.66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556</v>
      </c>
      <c r="B14" s="68"/>
      <c r="C14" s="68"/>
      <c r="D14" s="73"/>
      <c r="E14" s="74"/>
      <c r="F14" s="74"/>
      <c r="G14" s="151">
        <f>'[1]Телевизионная 10'!$G$36</f>
        <v>-20498.01</v>
      </c>
      <c r="H14" s="66"/>
      <c r="I14" s="66"/>
    </row>
    <row r="15" spans="1:9" s="71" customFormat="1" ht="15.75" thickBot="1">
      <c r="A15" s="67" t="s">
        <v>514</v>
      </c>
      <c r="B15" s="68"/>
      <c r="C15" s="68"/>
      <c r="D15" s="73"/>
      <c r="E15" s="74"/>
      <c r="F15" s="74"/>
      <c r="G15" s="69">
        <f>'[1]Телевизионная 10'!$G$37</f>
        <v>50070.045</v>
      </c>
      <c r="H15" s="66"/>
      <c r="I15" s="66"/>
    </row>
    <row r="16" s="63" customFormat="1" ht="6.75" customHeight="1"/>
    <row r="17" spans="1:7" s="78" customFormat="1" ht="52.5" customHeight="1">
      <c r="A17" s="76" t="s">
        <v>11</v>
      </c>
      <c r="B17" s="76" t="s">
        <v>12</v>
      </c>
      <c r="C17" s="76" t="s">
        <v>94</v>
      </c>
      <c r="D17" s="76" t="s">
        <v>283</v>
      </c>
      <c r="E17" s="76" t="s">
        <v>284</v>
      </c>
      <c r="F17" s="77" t="s">
        <v>298</v>
      </c>
      <c r="G17" s="76" t="s">
        <v>299</v>
      </c>
    </row>
    <row r="18" spans="1:12" s="83" customFormat="1" ht="14.25">
      <c r="A18" s="139" t="s">
        <v>14</v>
      </c>
      <c r="B18" s="41" t="s">
        <v>15</v>
      </c>
      <c r="C18" s="141">
        <f>C19+C20+C21+C22</f>
        <v>9.53</v>
      </c>
      <c r="D18" s="80">
        <v>259240.73</v>
      </c>
      <c r="E18" s="80">
        <v>243095.24</v>
      </c>
      <c r="F18" s="80">
        <f>D18</f>
        <v>259240.73</v>
      </c>
      <c r="G18" s="81">
        <f>E18-D18</f>
        <v>-16145.49000000002</v>
      </c>
      <c r="H18" s="82">
        <f>C18</f>
        <v>9.53</v>
      </c>
      <c r="K18" s="142"/>
      <c r="L18" s="143"/>
    </row>
    <row r="19" spans="1:9" s="63" customFormat="1" ht="15">
      <c r="A19" s="144" t="s">
        <v>16</v>
      </c>
      <c r="B19" s="34" t="s">
        <v>17</v>
      </c>
      <c r="C19" s="103">
        <v>3.34</v>
      </c>
      <c r="D19" s="87">
        <f>D18*I19</f>
        <v>90856.66717733473</v>
      </c>
      <c r="E19" s="87">
        <f>E18*I19</f>
        <v>85198.1218887723</v>
      </c>
      <c r="F19" s="87">
        <f>D19</f>
        <v>90856.66717733473</v>
      </c>
      <c r="G19" s="88">
        <f aca="true" t="shared" si="0" ref="G19:G27">E19-D19</f>
        <v>-5658.54528856244</v>
      </c>
      <c r="H19" s="82">
        <f>C19</f>
        <v>3.34</v>
      </c>
      <c r="I19" s="63">
        <f>H19/H18</f>
        <v>0.35047219307450156</v>
      </c>
    </row>
    <row r="20" spans="1:9" s="63" customFormat="1" ht="15">
      <c r="A20" s="144" t="s">
        <v>18</v>
      </c>
      <c r="B20" s="34" t="s">
        <v>19</v>
      </c>
      <c r="C20" s="103">
        <v>1.63</v>
      </c>
      <c r="D20" s="87">
        <f>D18*I20</f>
        <v>44340.229790136415</v>
      </c>
      <c r="E20" s="87">
        <f>E18*I20</f>
        <v>41578.72415529906</v>
      </c>
      <c r="F20" s="87">
        <f>D20</f>
        <v>44340.229790136415</v>
      </c>
      <c r="G20" s="88">
        <f t="shared" si="0"/>
        <v>-2761.5056348373546</v>
      </c>
      <c r="H20" s="82">
        <f>C20</f>
        <v>1.63</v>
      </c>
      <c r="I20" s="63">
        <f>H20/H18</f>
        <v>0.17103882476390347</v>
      </c>
    </row>
    <row r="21" spans="1:9" s="63" customFormat="1" ht="15">
      <c r="A21" s="144" t="s">
        <v>20</v>
      </c>
      <c r="B21" s="34" t="s">
        <v>21</v>
      </c>
      <c r="C21" s="103">
        <v>1.63</v>
      </c>
      <c r="D21" s="87">
        <f>D18*I21</f>
        <v>44340.229790136415</v>
      </c>
      <c r="E21" s="87">
        <f>E18*I21</f>
        <v>41578.72415529906</v>
      </c>
      <c r="F21" s="87">
        <f>D21</f>
        <v>44340.229790136415</v>
      </c>
      <c r="G21" s="88">
        <f t="shared" si="0"/>
        <v>-2761.5056348373546</v>
      </c>
      <c r="H21" s="82">
        <f>C21</f>
        <v>1.63</v>
      </c>
      <c r="I21" s="63">
        <f>H21/H18</f>
        <v>0.17103882476390347</v>
      </c>
    </row>
    <row r="22" spans="1:9" s="63" customFormat="1" ht="15">
      <c r="A22" s="144" t="s">
        <v>22</v>
      </c>
      <c r="B22" s="34" t="s">
        <v>23</v>
      </c>
      <c r="C22" s="103">
        <v>2.93</v>
      </c>
      <c r="D22" s="87">
        <f>D18*I22</f>
        <v>79703.60324239246</v>
      </c>
      <c r="E22" s="87">
        <f>E18*I22</f>
        <v>74739.6698006296</v>
      </c>
      <c r="F22" s="87">
        <f>D22</f>
        <v>79703.60324239246</v>
      </c>
      <c r="G22" s="88">
        <f t="shared" si="0"/>
        <v>-4963.933441762856</v>
      </c>
      <c r="H22" s="82">
        <f>C22</f>
        <v>2.93</v>
      </c>
      <c r="I22" s="63">
        <f>H22/H18</f>
        <v>0.30745015739769155</v>
      </c>
    </row>
    <row r="23" spans="1:7" s="92" customFormat="1" ht="14.25">
      <c r="A23" s="146" t="s">
        <v>25</v>
      </c>
      <c r="B23" s="90" t="s">
        <v>26</v>
      </c>
      <c r="C23" s="101">
        <v>0</v>
      </c>
      <c r="D23" s="91">
        <v>0</v>
      </c>
      <c r="E23" s="91">
        <v>0</v>
      </c>
      <c r="F23" s="91">
        <v>0</v>
      </c>
      <c r="G23" s="91">
        <f t="shared" si="0"/>
        <v>0</v>
      </c>
    </row>
    <row r="24" spans="1:7" s="92" customFormat="1" ht="14.25">
      <c r="A24" s="146" t="s">
        <v>27</v>
      </c>
      <c r="B24" s="90" t="s">
        <v>28</v>
      </c>
      <c r="C24" s="101">
        <v>0</v>
      </c>
      <c r="D24" s="91">
        <v>0</v>
      </c>
      <c r="E24" s="91">
        <v>0</v>
      </c>
      <c r="F24" s="91">
        <f>D24</f>
        <v>0</v>
      </c>
      <c r="G24" s="91">
        <f t="shared" si="0"/>
        <v>0</v>
      </c>
    </row>
    <row r="25" spans="1:7" s="92" customFormat="1" ht="14.25">
      <c r="A25" s="146" t="s">
        <v>29</v>
      </c>
      <c r="B25" s="90" t="s">
        <v>170</v>
      </c>
      <c r="C25" s="147" t="s">
        <v>307</v>
      </c>
      <c r="D25" s="91">
        <v>0</v>
      </c>
      <c r="E25" s="91">
        <v>0</v>
      </c>
      <c r="F25" s="91">
        <f>D25</f>
        <v>0</v>
      </c>
      <c r="G25" s="91">
        <f t="shared" si="0"/>
        <v>0</v>
      </c>
    </row>
    <row r="26" spans="1:7" s="92" customFormat="1" ht="14.25">
      <c r="A26" s="146" t="s">
        <v>31</v>
      </c>
      <c r="B26" s="90" t="s">
        <v>119</v>
      </c>
      <c r="C26" s="101">
        <v>4.5</v>
      </c>
      <c r="D26" s="91">
        <v>117037.92</v>
      </c>
      <c r="E26" s="91">
        <v>115377.61</v>
      </c>
      <c r="F26" s="91">
        <f>F43</f>
        <v>36229.7761</v>
      </c>
      <c r="G26" s="91">
        <f>E26-D26</f>
        <v>-1660.3099999999977</v>
      </c>
    </row>
    <row r="27" spans="1:7" s="102" customFormat="1" ht="14.25">
      <c r="A27" s="140" t="s">
        <v>33</v>
      </c>
      <c r="B27" s="41" t="s">
        <v>34</v>
      </c>
      <c r="C27" s="46">
        <v>0</v>
      </c>
      <c r="D27" s="81">
        <v>0</v>
      </c>
      <c r="E27" s="81">
        <v>449.93</v>
      </c>
      <c r="F27" s="91">
        <v>0</v>
      </c>
      <c r="G27" s="81">
        <f t="shared" si="0"/>
        <v>449.93</v>
      </c>
    </row>
    <row r="28" spans="1:7" s="102" customFormat="1" ht="14.25">
      <c r="A28" s="140" t="s">
        <v>35</v>
      </c>
      <c r="B28" s="41" t="s">
        <v>36</v>
      </c>
      <c r="C28" s="101"/>
      <c r="D28" s="81">
        <f>SUM(D29:D32)</f>
        <v>881683.98</v>
      </c>
      <c r="E28" s="81">
        <f>SUM(E29:E32)</f>
        <v>869047.9199999999</v>
      </c>
      <c r="F28" s="81">
        <f>SUM(F29:F32)</f>
        <v>881683.98</v>
      </c>
      <c r="G28" s="81">
        <f>SUM(G29:G32)</f>
        <v>-12636.06</v>
      </c>
    </row>
    <row r="29" spans="1:7" ht="15">
      <c r="A29" s="145" t="s">
        <v>37</v>
      </c>
      <c r="B29" s="34" t="s">
        <v>184</v>
      </c>
      <c r="C29" s="103" t="s">
        <v>300</v>
      </c>
      <c r="D29" s="88">
        <v>9174.5</v>
      </c>
      <c r="E29" s="88">
        <v>9018.94</v>
      </c>
      <c r="F29" s="88">
        <f>D29</f>
        <v>9174.5</v>
      </c>
      <c r="G29" s="88">
        <f>E29-D29</f>
        <v>-155.5599999999995</v>
      </c>
    </row>
    <row r="30" spans="1:7" ht="15">
      <c r="A30" s="145" t="s">
        <v>39</v>
      </c>
      <c r="B30" s="34" t="s">
        <v>142</v>
      </c>
      <c r="C30" s="103" t="s">
        <v>315</v>
      </c>
      <c r="D30" s="88">
        <v>333840.37</v>
      </c>
      <c r="E30" s="88">
        <v>327506.28</v>
      </c>
      <c r="F30" s="88">
        <f>D30</f>
        <v>333840.37</v>
      </c>
      <c r="G30" s="88">
        <f>E30-D30</f>
        <v>-6334.089999999967</v>
      </c>
    </row>
    <row r="31" spans="1:7" ht="15">
      <c r="A31" s="145" t="s">
        <v>42</v>
      </c>
      <c r="B31" s="34" t="s">
        <v>143</v>
      </c>
      <c r="C31" s="205"/>
      <c r="D31" s="88">
        <v>0</v>
      </c>
      <c r="E31" s="88">
        <v>0</v>
      </c>
      <c r="F31" s="88">
        <f>D31</f>
        <v>0</v>
      </c>
      <c r="G31" s="88">
        <f>E31-D31</f>
        <v>0</v>
      </c>
    </row>
    <row r="32" spans="1:7" ht="15">
      <c r="A32" s="145" t="s">
        <v>41</v>
      </c>
      <c r="B32" s="34" t="s">
        <v>43</v>
      </c>
      <c r="C32" s="103" t="s">
        <v>301</v>
      </c>
      <c r="D32" s="88">
        <v>538669.11</v>
      </c>
      <c r="E32" s="88">
        <v>532522.7</v>
      </c>
      <c r="F32" s="88">
        <f>D32</f>
        <v>538669.11</v>
      </c>
      <c r="G32" s="88">
        <f>E32-D32</f>
        <v>-6146.410000000033</v>
      </c>
    </row>
    <row r="33" spans="1:9" s="106" customFormat="1" ht="7.5" customHeight="1" thickBot="1">
      <c r="A33" s="104"/>
      <c r="B33" s="104"/>
      <c r="C33" s="104"/>
      <c r="D33" s="105"/>
      <c r="E33" s="105"/>
      <c r="F33" s="105"/>
      <c r="G33" s="105"/>
      <c r="H33" s="105"/>
      <c r="I33" s="105"/>
    </row>
    <row r="34" spans="1:9" s="71" customFormat="1" ht="15.75" thickBot="1">
      <c r="A34" s="319" t="s">
        <v>420</v>
      </c>
      <c r="B34" s="320"/>
      <c r="C34" s="320"/>
      <c r="D34" s="69">
        <f>D12+D18+D23+D24+D25+D26+D27+D28-E18-E23-E24-E25-E26-E27-E28</f>
        <v>300186.5900000001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G14+E27-F27</f>
        <v>-20048.079999999998</v>
      </c>
      <c r="H36" s="66"/>
      <c r="I36" s="66"/>
    </row>
    <row r="37" spans="1:9" s="106" customFormat="1" ht="14.25" thickBot="1">
      <c r="A37" s="67" t="s">
        <v>558</v>
      </c>
      <c r="B37" s="68"/>
      <c r="C37" s="68"/>
      <c r="D37" s="73"/>
      <c r="E37" s="74"/>
      <c r="F37" s="74"/>
      <c r="G37" s="151">
        <f>G15+E26-F26</f>
        <v>129217.8789</v>
      </c>
      <c r="H37" s="105"/>
      <c r="I37" s="105"/>
    </row>
    <row r="38" spans="1:9" s="106" customFormat="1" ht="9.75" customHeight="1">
      <c r="A38" s="108"/>
      <c r="B38" s="108"/>
      <c r="C38" s="108"/>
      <c r="D38" s="108"/>
      <c r="E38" s="105"/>
      <c r="F38" s="105"/>
      <c r="G38" s="105"/>
      <c r="H38" s="105"/>
      <c r="I38" s="105"/>
    </row>
    <row r="39" spans="1:9" s="106" customFormat="1" ht="9.75" customHeight="1">
      <c r="A39" s="108"/>
      <c r="B39" s="108"/>
      <c r="C39" s="108"/>
      <c r="D39" s="108"/>
      <c r="E39" s="105"/>
      <c r="F39" s="105"/>
      <c r="G39" s="105"/>
      <c r="H39" s="105"/>
      <c r="I39" s="105"/>
    </row>
    <row r="40" spans="1:9" ht="23.25" customHeight="1">
      <c r="A40" s="321" t="s">
        <v>44</v>
      </c>
      <c r="B40" s="349"/>
      <c r="C40" s="349"/>
      <c r="D40" s="349"/>
      <c r="E40" s="349"/>
      <c r="F40" s="349"/>
      <c r="G40" s="349"/>
      <c r="H40" s="62"/>
      <c r="I40" s="62"/>
    </row>
    <row r="42" spans="1:10" s="78" customFormat="1" ht="28.5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426" t="s">
        <v>46</v>
      </c>
      <c r="G42" s="426"/>
      <c r="H42" s="110"/>
      <c r="I42" s="111"/>
      <c r="J42" s="112"/>
    </row>
    <row r="43" spans="1:10" s="119" customFormat="1" ht="15">
      <c r="A43" s="113" t="s">
        <v>47</v>
      </c>
      <c r="B43" s="342" t="s">
        <v>114</v>
      </c>
      <c r="C43" s="345"/>
      <c r="D43" s="115"/>
      <c r="E43" s="115"/>
      <c r="F43" s="436">
        <f>SUM(F44:G47)</f>
        <v>36229.7761</v>
      </c>
      <c r="G43" s="437"/>
      <c r="H43" s="117"/>
      <c r="I43" s="118"/>
      <c r="J43" s="120"/>
    </row>
    <row r="44" spans="1:10" ht="15">
      <c r="A44" s="34" t="s">
        <v>16</v>
      </c>
      <c r="B44" s="325" t="s">
        <v>342</v>
      </c>
      <c r="C44" s="327"/>
      <c r="D44" s="123" t="s">
        <v>260</v>
      </c>
      <c r="E44" s="126">
        <v>0.075</v>
      </c>
      <c r="F44" s="355">
        <v>19416</v>
      </c>
      <c r="G44" s="355"/>
      <c r="H44" s="40"/>
      <c r="I44" s="40"/>
      <c r="J44" s="124"/>
    </row>
    <row r="45" spans="1:10" ht="15">
      <c r="A45" s="34" t="s">
        <v>18</v>
      </c>
      <c r="B45" s="325" t="s">
        <v>663</v>
      </c>
      <c r="C45" s="350"/>
      <c r="D45" s="123"/>
      <c r="E45" s="159" t="s">
        <v>286</v>
      </c>
      <c r="F45" s="344">
        <v>6160</v>
      </c>
      <c r="G45" s="344"/>
      <c r="H45" s="40"/>
      <c r="I45" s="40"/>
      <c r="J45" s="124"/>
    </row>
    <row r="46" spans="1:10" ht="15">
      <c r="A46" s="34" t="s">
        <v>20</v>
      </c>
      <c r="B46" s="325" t="s">
        <v>698</v>
      </c>
      <c r="C46" s="350"/>
      <c r="D46" s="123"/>
      <c r="E46" s="159"/>
      <c r="F46" s="344">
        <v>9500</v>
      </c>
      <c r="G46" s="344"/>
      <c r="H46" s="40"/>
      <c r="I46" s="40"/>
      <c r="J46" s="124"/>
    </row>
    <row r="47" spans="1:7" s="71" customFormat="1" ht="15">
      <c r="A47" s="34" t="s">
        <v>20</v>
      </c>
      <c r="B47" s="194" t="s">
        <v>207</v>
      </c>
      <c r="C47" s="195"/>
      <c r="D47" s="129"/>
      <c r="E47" s="129"/>
      <c r="F47" s="355">
        <f>E26*1%</f>
        <v>1153.7761</v>
      </c>
      <c r="G47" s="355"/>
    </row>
    <row r="48" s="63" customFormat="1" ht="12.75"/>
    <row r="49" spans="1:7" s="63" customFormat="1" ht="15">
      <c r="A49" s="71" t="s">
        <v>55</v>
      </c>
      <c r="B49" s="71"/>
      <c r="C49" s="131" t="s">
        <v>49</v>
      </c>
      <c r="D49" s="71"/>
      <c r="E49" s="71"/>
      <c r="F49" s="71" t="s">
        <v>93</v>
      </c>
      <c r="G49" s="71"/>
    </row>
    <row r="50" spans="1:7" ht="15">
      <c r="A50" s="71"/>
      <c r="B50" s="71"/>
      <c r="C50" s="131"/>
      <c r="D50" s="71"/>
      <c r="E50" s="71"/>
      <c r="F50" s="132" t="s">
        <v>296</v>
      </c>
      <c r="G50" s="71"/>
    </row>
    <row r="51" spans="1:7" ht="15">
      <c r="A51" s="71" t="s">
        <v>50</v>
      </c>
      <c r="B51" s="71"/>
      <c r="C51" s="131"/>
      <c r="D51" s="71"/>
      <c r="E51" s="71"/>
      <c r="F51" s="71"/>
      <c r="G51" s="71"/>
    </row>
    <row r="52" spans="1:7" ht="15">
      <c r="A52" s="71"/>
      <c r="B52" s="71"/>
      <c r="C52" s="133" t="s">
        <v>51</v>
      </c>
      <c r="D52" s="71"/>
      <c r="E52" s="134"/>
      <c r="F52" s="134"/>
      <c r="G52" s="134"/>
    </row>
  </sheetData>
  <sheetProtection/>
  <mergeCells count="21">
    <mergeCell ref="F47:G47"/>
    <mergeCell ref="A34:C34"/>
    <mergeCell ref="B42:C42"/>
    <mergeCell ref="F42:G42"/>
    <mergeCell ref="B43:C43"/>
    <mergeCell ref="F43:G43"/>
    <mergeCell ref="B44:C44"/>
    <mergeCell ref="B46:C46"/>
    <mergeCell ref="F46:G46"/>
    <mergeCell ref="A11:I11"/>
    <mergeCell ref="A12:C12"/>
    <mergeCell ref="F44:G44"/>
    <mergeCell ref="B45:C45"/>
    <mergeCell ref="F45:G45"/>
    <mergeCell ref="A40:G40"/>
    <mergeCell ref="A10:I10"/>
    <mergeCell ref="A1:I1"/>
    <mergeCell ref="A2:I2"/>
    <mergeCell ref="A3:I3"/>
    <mergeCell ref="A5:I5"/>
    <mergeCell ref="A9:I9"/>
  </mergeCells>
  <printOptions/>
  <pageMargins left="0.7" right="0.7" top="0.75" bottom="0.75" header="0.3" footer="0.3"/>
  <pageSetup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7030A0"/>
  </sheetPr>
  <dimension ref="A1:L52"/>
  <sheetViews>
    <sheetView zoomScalePageLayoutView="0" workbookViewId="0" topLeftCell="A19">
      <selection activeCell="G36" sqref="G36"/>
    </sheetView>
  </sheetViews>
  <sheetFormatPr defaultColWidth="9.140625" defaultRowHeight="15" outlineLevelCol="1"/>
  <cols>
    <col min="1" max="1" width="4.8515625" style="61" customWidth="1"/>
    <col min="2" max="2" width="50.28125" style="61" customWidth="1"/>
    <col min="3" max="3" width="15.8515625" style="61" customWidth="1"/>
    <col min="4" max="4" width="14.8515625" style="61" customWidth="1"/>
    <col min="5" max="5" width="12.57421875" style="61" customWidth="1"/>
    <col min="6" max="6" width="12.421875" style="61" customWidth="1"/>
    <col min="7" max="7" width="14.57421875" style="61" customWidth="1"/>
    <col min="8" max="9" width="11.57421875" style="61" hidden="1" customWidth="1" outlineLevel="1"/>
    <col min="10" max="10" width="9.140625" style="61" customWidth="1" collapsed="1"/>
    <col min="11" max="11" width="10.00390625" style="61" bestFit="1" customWidth="1"/>
    <col min="12" max="12" width="15.8515625" style="61" customWidth="1"/>
    <col min="13" max="16384" width="9.140625" style="61" customWidth="1"/>
  </cols>
  <sheetData>
    <row r="1" spans="1:9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</row>
    <row r="3" spans="1:9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</row>
    <row r="4" spans="1:9" ht="9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</row>
    <row r="7" spans="1:8" s="63" customFormat="1" ht="16.5" customHeight="1">
      <c r="A7" s="63" t="s">
        <v>2</v>
      </c>
      <c r="F7" s="64" t="s">
        <v>186</v>
      </c>
      <c r="H7" s="64"/>
    </row>
    <row r="8" spans="1:8" s="63" customFormat="1" ht="12.75">
      <c r="A8" s="63" t="s">
        <v>3</v>
      </c>
      <c r="F8" s="64" t="s">
        <v>552</v>
      </c>
      <c r="H8" s="64"/>
    </row>
    <row r="9" spans="1:9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</row>
    <row r="10" spans="1:9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</row>
    <row r="11" spans="1:9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6.5" customHeight="1" thickBot="1">
      <c r="A12" s="319" t="s">
        <v>213</v>
      </c>
      <c r="B12" s="320"/>
      <c r="C12" s="320"/>
      <c r="D12" s="51">
        <v>27437.14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'[1]Дубрава 1'!$G$35</f>
        <v>26461.354600000002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2" s="83" customFormat="1" ht="14.25">
      <c r="A17" s="79" t="s">
        <v>14</v>
      </c>
      <c r="B17" s="41" t="s">
        <v>15</v>
      </c>
      <c r="C17" s="141">
        <f>C18+C19+C20+C21</f>
        <v>9.53</v>
      </c>
      <c r="D17" s="80">
        <v>84545.722</v>
      </c>
      <c r="E17" s="80">
        <v>78811.96</v>
      </c>
      <c r="F17" s="80">
        <f>D17</f>
        <v>84545.722</v>
      </c>
      <c r="G17" s="81">
        <f>E17-D17</f>
        <v>-5733.761999999988</v>
      </c>
      <c r="H17" s="82">
        <f>C17</f>
        <v>9.53</v>
      </c>
      <c r="K17" s="142"/>
      <c r="L17" s="143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29630.924604407133</v>
      </c>
      <c r="E18" s="87">
        <f>E17*I18</f>
        <v>27621.400461699897</v>
      </c>
      <c r="F18" s="87">
        <f>D18</f>
        <v>29630.924604407133</v>
      </c>
      <c r="G18" s="88">
        <f aca="true" t="shared" si="0" ref="G18:G27">E18-D18</f>
        <v>-2009.524142707236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14460.600929695698</v>
      </c>
      <c r="E19" s="87">
        <f>E17*I19</f>
        <v>13479.90501573977</v>
      </c>
      <c r="F19" s="87">
        <f>D19</f>
        <v>14460.600929695698</v>
      </c>
      <c r="G19" s="88">
        <f t="shared" si="0"/>
        <v>-980.6959139559276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14460.600929695698</v>
      </c>
      <c r="E20" s="87">
        <f>E17*I20</f>
        <v>13479.90501573977</v>
      </c>
      <c r="F20" s="87">
        <f>D20</f>
        <v>14460.600929695698</v>
      </c>
      <c r="G20" s="88">
        <f t="shared" si="0"/>
        <v>-980.6959139559276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25993.595536201472</v>
      </c>
      <c r="E21" s="87">
        <f>E17*I21</f>
        <v>24230.74950682057</v>
      </c>
      <c r="F21" s="87">
        <f>D21</f>
        <v>25993.595536201472</v>
      </c>
      <c r="G21" s="88">
        <f t="shared" si="0"/>
        <v>-1762.8460293809003</v>
      </c>
      <c r="H21" s="82">
        <f>C21</f>
        <v>2.93</v>
      </c>
      <c r="I21" s="63">
        <f>H21/H17</f>
        <v>0.30745015739769155</v>
      </c>
    </row>
    <row r="22" spans="1:7" s="92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</row>
    <row r="23" spans="1:7" s="92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</row>
    <row r="24" spans="1:7" s="92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</row>
    <row r="25" spans="1:7" s="92" customFormat="1" ht="14.25">
      <c r="A25" s="90" t="s">
        <v>31</v>
      </c>
      <c r="B25" s="90" t="s">
        <v>119</v>
      </c>
      <c r="C25" s="91">
        <v>1.8</v>
      </c>
      <c r="D25" s="91">
        <v>15894</v>
      </c>
      <c r="E25" s="91">
        <v>14891.95</v>
      </c>
      <c r="F25" s="91">
        <f>F41-F27</f>
        <v>20324.91949999999</v>
      </c>
      <c r="G25" s="91">
        <f>E25-D25</f>
        <v>-1002.0499999999993</v>
      </c>
    </row>
    <row r="26" spans="1:7" s="102" customFormat="1" ht="14.25">
      <c r="A26" s="41" t="s">
        <v>33</v>
      </c>
      <c r="B26" s="41" t="s">
        <v>170</v>
      </c>
      <c r="C26" s="81" t="s">
        <v>314</v>
      </c>
      <c r="D26" s="81">
        <v>0</v>
      </c>
      <c r="E26" s="81">
        <v>0</v>
      </c>
      <c r="F26" s="91">
        <v>0</v>
      </c>
      <c r="G26" s="81">
        <f t="shared" si="0"/>
        <v>0</v>
      </c>
    </row>
    <row r="27" spans="1:7" s="102" customFormat="1" ht="14.25">
      <c r="A27" s="41" t="s">
        <v>35</v>
      </c>
      <c r="B27" s="41" t="s">
        <v>555</v>
      </c>
      <c r="C27" s="81">
        <v>45.26</v>
      </c>
      <c r="D27" s="81">
        <v>199732.44</v>
      </c>
      <c r="E27" s="81">
        <v>186302.97</v>
      </c>
      <c r="F27" s="91">
        <f>F47</f>
        <v>200000</v>
      </c>
      <c r="G27" s="81">
        <f t="shared" si="0"/>
        <v>-13429.470000000001</v>
      </c>
    </row>
    <row r="28" spans="1:7" s="102" customFormat="1" ht="14.25">
      <c r="A28" s="41" t="s">
        <v>35</v>
      </c>
      <c r="B28" s="41" t="s">
        <v>36</v>
      </c>
      <c r="C28" s="81"/>
      <c r="D28" s="81">
        <f>SUM(D29:D32)</f>
        <v>286477.27</v>
      </c>
      <c r="E28" s="81">
        <f>SUM(E29:E32)</f>
        <v>279449.70999999996</v>
      </c>
      <c r="F28" s="81">
        <f>SUM(F29:F32)</f>
        <v>286477.27</v>
      </c>
      <c r="G28" s="81">
        <f>SUM(G29:G32)</f>
        <v>-7027.560000000002</v>
      </c>
    </row>
    <row r="29" spans="1:7" ht="15">
      <c r="A29" s="34" t="s">
        <v>37</v>
      </c>
      <c r="B29" s="34" t="s">
        <v>174</v>
      </c>
      <c r="C29" s="103" t="s">
        <v>300</v>
      </c>
      <c r="D29" s="88">
        <v>2460.54</v>
      </c>
      <c r="E29" s="88">
        <v>2304.92</v>
      </c>
      <c r="F29" s="88">
        <f>D29</f>
        <v>2460.54</v>
      </c>
      <c r="G29" s="88">
        <f>E29-D29</f>
        <v>-155.6199999999999</v>
      </c>
    </row>
    <row r="30" spans="1:7" ht="15">
      <c r="A30" s="34" t="s">
        <v>39</v>
      </c>
      <c r="B30" s="34" t="s">
        <v>142</v>
      </c>
      <c r="C30" s="103" t="s">
        <v>315</v>
      </c>
      <c r="D30" s="88">
        <v>103073.64</v>
      </c>
      <c r="E30" s="88">
        <v>104211.29</v>
      </c>
      <c r="F30" s="88">
        <f>D30</f>
        <v>103073.64</v>
      </c>
      <c r="G30" s="88">
        <f>E30-D30</f>
        <v>1137.6499999999942</v>
      </c>
    </row>
    <row r="31" spans="1:7" ht="15">
      <c r="A31" s="34" t="s">
        <v>42</v>
      </c>
      <c r="B31" s="34" t="s">
        <v>143</v>
      </c>
      <c r="C31" s="205"/>
      <c r="D31" s="88">
        <v>0</v>
      </c>
      <c r="E31" s="88">
        <v>0</v>
      </c>
      <c r="F31" s="88">
        <f>D31</f>
        <v>0</v>
      </c>
      <c r="G31" s="88">
        <f>E31-D31</f>
        <v>0</v>
      </c>
    </row>
    <row r="32" spans="1:7" ht="15">
      <c r="A32" s="34" t="s">
        <v>41</v>
      </c>
      <c r="B32" s="34" t="s">
        <v>43</v>
      </c>
      <c r="C32" s="103" t="s">
        <v>301</v>
      </c>
      <c r="D32" s="88">
        <v>180943.09</v>
      </c>
      <c r="E32" s="88">
        <v>172933.5</v>
      </c>
      <c r="F32" s="88">
        <f>D32</f>
        <v>180943.09</v>
      </c>
      <c r="G32" s="88">
        <f>E32-D32</f>
        <v>-8009.5899999999965</v>
      </c>
    </row>
    <row r="33" spans="1:9" s="106" customFormat="1" ht="7.5" customHeight="1" thickBot="1">
      <c r="A33" s="104"/>
      <c r="B33" s="104"/>
      <c r="C33" s="104"/>
      <c r="D33" s="105"/>
      <c r="E33" s="105"/>
      <c r="F33" s="105"/>
      <c r="G33" s="105"/>
      <c r="H33" s="105"/>
      <c r="I33" s="105"/>
    </row>
    <row r="34" spans="1:9" s="71" customFormat="1" ht="15.75" thickBot="1">
      <c r="A34" s="319" t="s">
        <v>420</v>
      </c>
      <c r="B34" s="320"/>
      <c r="C34" s="320"/>
      <c r="D34" s="69">
        <f>D12+D17+D23+D25+D26++D27+D28-E17-E23-E25-E26-E27-E28</f>
        <v>54629.98200000008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558</v>
      </c>
      <c r="B36" s="68"/>
      <c r="C36" s="68"/>
      <c r="D36" s="73"/>
      <c r="E36" s="74"/>
      <c r="F36" s="74"/>
      <c r="G36" s="151">
        <f>G14+E25-F25+E27-F27</f>
        <v>7331.355100000015</v>
      </c>
      <c r="H36" s="66"/>
      <c r="I36" s="66"/>
    </row>
    <row r="37" spans="1:9" s="106" customFormat="1" ht="9.75" customHeight="1">
      <c r="A37" s="108"/>
      <c r="B37" s="108"/>
      <c r="C37" s="108"/>
      <c r="D37" s="108"/>
      <c r="E37" s="105"/>
      <c r="F37" s="105"/>
      <c r="G37" s="105"/>
      <c r="H37" s="105"/>
      <c r="I37" s="105"/>
    </row>
    <row r="38" spans="1:9" ht="23.25" customHeight="1">
      <c r="A38" s="321" t="s">
        <v>44</v>
      </c>
      <c r="B38" s="349"/>
      <c r="C38" s="349"/>
      <c r="D38" s="349"/>
      <c r="E38" s="349"/>
      <c r="F38" s="349"/>
      <c r="G38" s="349"/>
      <c r="H38" s="62"/>
      <c r="I38" s="62"/>
    </row>
    <row r="40" spans="1:10" s="78" customFormat="1" ht="37.5" customHeight="1">
      <c r="A40" s="109" t="s">
        <v>11</v>
      </c>
      <c r="B40" s="340" t="s">
        <v>45</v>
      </c>
      <c r="C40" s="352"/>
      <c r="D40" s="109" t="s">
        <v>172</v>
      </c>
      <c r="E40" s="109" t="s">
        <v>171</v>
      </c>
      <c r="F40" s="426" t="s">
        <v>46</v>
      </c>
      <c r="G40" s="426"/>
      <c r="H40" s="110"/>
      <c r="I40" s="111"/>
      <c r="J40" s="112"/>
    </row>
    <row r="41" spans="1:10" s="119" customFormat="1" ht="15">
      <c r="A41" s="113" t="s">
        <v>47</v>
      </c>
      <c r="B41" s="342" t="s">
        <v>114</v>
      </c>
      <c r="C41" s="345"/>
      <c r="D41" s="115"/>
      <c r="E41" s="115"/>
      <c r="F41" s="436">
        <f>SUM(F42:F47)</f>
        <v>220324.9195</v>
      </c>
      <c r="G41" s="437"/>
      <c r="H41" s="117"/>
      <c r="I41" s="118"/>
      <c r="J41" s="120"/>
    </row>
    <row r="42" spans="1:7" s="63" customFormat="1" ht="15">
      <c r="A42" s="34" t="s">
        <v>16</v>
      </c>
      <c r="B42" s="364" t="s">
        <v>207</v>
      </c>
      <c r="C42" s="365"/>
      <c r="D42" s="202"/>
      <c r="E42" s="202"/>
      <c r="F42" s="357">
        <f>E25*1%</f>
        <v>148.9195</v>
      </c>
      <c r="G42" s="357"/>
    </row>
    <row r="43" spans="1:7" s="63" customFormat="1" ht="15">
      <c r="A43" s="34" t="s">
        <v>18</v>
      </c>
      <c r="B43" s="364" t="s">
        <v>553</v>
      </c>
      <c r="C43" s="365"/>
      <c r="D43" s="202" t="s">
        <v>173</v>
      </c>
      <c r="E43" s="202">
        <v>1</v>
      </c>
      <c r="F43" s="357">
        <v>2444</v>
      </c>
      <c r="G43" s="357"/>
    </row>
    <row r="44" spans="1:7" s="63" customFormat="1" ht="15">
      <c r="A44" s="34" t="s">
        <v>20</v>
      </c>
      <c r="B44" s="364" t="s">
        <v>554</v>
      </c>
      <c r="C44" s="365"/>
      <c r="D44" s="202" t="s">
        <v>285</v>
      </c>
      <c r="E44" s="202">
        <v>0.01</v>
      </c>
      <c r="F44" s="357">
        <v>6052</v>
      </c>
      <c r="G44" s="357"/>
    </row>
    <row r="45" spans="1:7" s="63" customFormat="1" ht="28.5" customHeight="1">
      <c r="A45" s="34" t="s">
        <v>22</v>
      </c>
      <c r="B45" s="364" t="s">
        <v>375</v>
      </c>
      <c r="C45" s="365"/>
      <c r="D45" s="202" t="s">
        <v>173</v>
      </c>
      <c r="E45" s="202">
        <v>1</v>
      </c>
      <c r="F45" s="357">
        <v>10000</v>
      </c>
      <c r="G45" s="357"/>
    </row>
    <row r="46" spans="1:7" s="63" customFormat="1" ht="28.5" customHeight="1">
      <c r="A46" s="34" t="s">
        <v>24</v>
      </c>
      <c r="B46" s="325" t="s">
        <v>663</v>
      </c>
      <c r="C46" s="350"/>
      <c r="D46" s="202"/>
      <c r="E46" s="159" t="s">
        <v>286</v>
      </c>
      <c r="F46" s="344">
        <v>1680</v>
      </c>
      <c r="G46" s="344"/>
    </row>
    <row r="47" spans="1:7" s="63" customFormat="1" ht="15">
      <c r="A47" s="34" t="s">
        <v>106</v>
      </c>
      <c r="B47" s="364" t="s">
        <v>185</v>
      </c>
      <c r="C47" s="365"/>
      <c r="D47" s="202" t="s">
        <v>173</v>
      </c>
      <c r="E47" s="202">
        <v>1</v>
      </c>
      <c r="F47" s="357">
        <v>200000</v>
      </c>
      <c r="G47" s="357"/>
    </row>
    <row r="48" s="63" customFormat="1" ht="12.75"/>
    <row r="49" spans="1:6" s="71" customFormat="1" ht="15">
      <c r="A49" s="71" t="s">
        <v>55</v>
      </c>
      <c r="C49" s="131" t="s">
        <v>49</v>
      </c>
      <c r="F49" s="71" t="s">
        <v>93</v>
      </c>
    </row>
    <row r="50" spans="1:7" s="63" customFormat="1" ht="15">
      <c r="A50" s="71"/>
      <c r="B50" s="71"/>
      <c r="C50" s="131"/>
      <c r="D50" s="71"/>
      <c r="E50" s="71"/>
      <c r="F50" s="132" t="s">
        <v>296</v>
      </c>
      <c r="G50" s="71"/>
    </row>
    <row r="51" spans="1:9" s="63" customFormat="1" ht="15">
      <c r="A51" s="71" t="s">
        <v>50</v>
      </c>
      <c r="B51" s="71"/>
      <c r="C51" s="131"/>
      <c r="D51" s="71"/>
      <c r="E51" s="71"/>
      <c r="F51" s="71"/>
      <c r="G51" s="71"/>
      <c r="H51" s="164"/>
      <c r="I51" s="164"/>
    </row>
    <row r="52" spans="1:7" s="63" customFormat="1" ht="15">
      <c r="A52" s="71"/>
      <c r="B52" s="71"/>
      <c r="C52" s="133" t="s">
        <v>51</v>
      </c>
      <c r="D52" s="71"/>
      <c r="E52" s="134"/>
      <c r="F52" s="134"/>
      <c r="G52" s="134"/>
    </row>
    <row r="53" s="63" customFormat="1" ht="12.75"/>
  </sheetData>
  <sheetProtection/>
  <mergeCells count="26">
    <mergeCell ref="B45:C45"/>
    <mergeCell ref="F43:G43"/>
    <mergeCell ref="F44:G44"/>
    <mergeCell ref="F45:G45"/>
    <mergeCell ref="B47:C47"/>
    <mergeCell ref="F47:G47"/>
    <mergeCell ref="B43:C43"/>
    <mergeCell ref="B44:C44"/>
    <mergeCell ref="B46:C46"/>
    <mergeCell ref="F46:G46"/>
    <mergeCell ref="B42:C42"/>
    <mergeCell ref="B40:C40"/>
    <mergeCell ref="F40:G40"/>
    <mergeCell ref="B41:C41"/>
    <mergeCell ref="F41:G41"/>
    <mergeCell ref="A11:I11"/>
    <mergeCell ref="A12:C12"/>
    <mergeCell ref="A34:C34"/>
    <mergeCell ref="A38:G38"/>
    <mergeCell ref="F42:G42"/>
    <mergeCell ref="A1:I1"/>
    <mergeCell ref="A2:I2"/>
    <mergeCell ref="A3:I3"/>
    <mergeCell ref="A5:I5"/>
    <mergeCell ref="A9:I9"/>
    <mergeCell ref="A10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A1">
      <selection activeCell="D12" sqref="D12"/>
    </sheetView>
  </sheetViews>
  <sheetFormatPr defaultColWidth="9.140625" defaultRowHeight="15" outlineLevelCol="1"/>
  <cols>
    <col min="1" max="1" width="4.8515625" style="61" customWidth="1"/>
    <col min="2" max="2" width="47.7109375" style="61" customWidth="1"/>
    <col min="3" max="3" width="15.8515625" style="61" customWidth="1"/>
    <col min="4" max="4" width="14.8515625" style="61" customWidth="1"/>
    <col min="5" max="5" width="12.57421875" style="61" customWidth="1"/>
    <col min="6" max="6" width="12.42187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140625" style="6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188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189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0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'[1]Дубрава 1а'!$G$35</f>
        <v>2517.032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6" s="83" customFormat="1" ht="28.5">
      <c r="A17" s="79" t="s">
        <v>14</v>
      </c>
      <c r="B17" s="41" t="s">
        <v>15</v>
      </c>
      <c r="C17" s="141">
        <f>C18+C19+C20+C21</f>
        <v>9.53</v>
      </c>
      <c r="D17" s="80">
        <v>8965.68</v>
      </c>
      <c r="E17" s="80">
        <v>8965.68</v>
      </c>
      <c r="F17" s="80">
        <f>D17</f>
        <v>8965.68</v>
      </c>
      <c r="G17" s="81">
        <f>E17-D17</f>
        <v>0</v>
      </c>
      <c r="H17" s="82">
        <f>C17</f>
        <v>9.53</v>
      </c>
      <c r="O17" s="142"/>
      <c r="P17" s="143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3142.2215320041973</v>
      </c>
      <c r="E18" s="87">
        <f>E17*I18</f>
        <v>3142.2215320041973</v>
      </c>
      <c r="F18" s="87">
        <f>D18</f>
        <v>3142.2215320041973</v>
      </c>
      <c r="G18" s="88">
        <f aca="true" t="shared" si="0" ref="G18:G26">E18-D18</f>
        <v>0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1533.4793704092342</v>
      </c>
      <c r="E19" s="87">
        <f>E17*I19</f>
        <v>1533.4793704092342</v>
      </c>
      <c r="F19" s="87">
        <f>D19</f>
        <v>1533.4793704092342</v>
      </c>
      <c r="G19" s="88">
        <f t="shared" si="0"/>
        <v>0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1533.4793704092342</v>
      </c>
      <c r="E20" s="87">
        <f>E17*I20</f>
        <v>1533.4793704092342</v>
      </c>
      <c r="F20" s="87">
        <f>D20</f>
        <v>1533.4793704092342</v>
      </c>
      <c r="G20" s="88">
        <f t="shared" si="0"/>
        <v>0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2756.4997271773354</v>
      </c>
      <c r="E21" s="87">
        <f>E17*I21</f>
        <v>2756.4997271773354</v>
      </c>
      <c r="F21" s="87">
        <f>D21</f>
        <v>2756.4997271773354</v>
      </c>
      <c r="G21" s="88">
        <f t="shared" si="0"/>
        <v>0</v>
      </c>
      <c r="H21" s="82">
        <f>C21</f>
        <v>2.93</v>
      </c>
      <c r="I21" s="63">
        <f>H21/H17</f>
        <v>0.30745015739769155</v>
      </c>
    </row>
    <row r="22" spans="1:7" s="92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</row>
    <row r="23" spans="1:7" s="92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</row>
    <row r="24" spans="1:7" s="92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</row>
    <row r="25" spans="1:7" s="92" customFormat="1" ht="14.25">
      <c r="A25" s="90" t="s">
        <v>31</v>
      </c>
      <c r="B25" s="90" t="s">
        <v>119</v>
      </c>
      <c r="C25" s="91">
        <v>1.8</v>
      </c>
      <c r="D25" s="91">
        <v>1693.44</v>
      </c>
      <c r="E25" s="91">
        <v>1693.44</v>
      </c>
      <c r="F25" s="91">
        <f>F40</f>
        <v>576.9344</v>
      </c>
      <c r="G25" s="91">
        <f>E25-D25</f>
        <v>0</v>
      </c>
    </row>
    <row r="26" spans="1:7" s="102" customFormat="1" ht="14.25">
      <c r="A26" s="41" t="s">
        <v>33</v>
      </c>
      <c r="B26" s="41" t="s">
        <v>170</v>
      </c>
      <c r="C26" s="81">
        <v>0</v>
      </c>
      <c r="D26" s="81">
        <v>0</v>
      </c>
      <c r="E26" s="81">
        <v>0</v>
      </c>
      <c r="F26" s="91">
        <v>0</v>
      </c>
      <c r="G26" s="81">
        <f t="shared" si="0"/>
        <v>0</v>
      </c>
    </row>
    <row r="27" spans="1:7" s="102" customFormat="1" ht="14.25">
      <c r="A27" s="41" t="s">
        <v>35</v>
      </c>
      <c r="B27" s="41" t="s">
        <v>36</v>
      </c>
      <c r="C27" s="81"/>
      <c r="D27" s="81">
        <f>SUM(D28:D31)</f>
        <v>20651.239999999998</v>
      </c>
      <c r="E27" s="81">
        <f>SUM(E28:E31)</f>
        <v>20651.239999999998</v>
      </c>
      <c r="F27" s="81">
        <f>SUM(F28:F31)</f>
        <v>20651.239999999998</v>
      </c>
      <c r="G27" s="81">
        <f>SUM(G28:G31)</f>
        <v>0</v>
      </c>
    </row>
    <row r="28" spans="1:7" ht="15">
      <c r="A28" s="34" t="s">
        <v>37</v>
      </c>
      <c r="B28" s="34" t="s">
        <v>174</v>
      </c>
      <c r="C28" s="103"/>
      <c r="D28" s="88">
        <v>0</v>
      </c>
      <c r="E28" s="88">
        <v>0</v>
      </c>
      <c r="F28" s="88">
        <f>D28</f>
        <v>0</v>
      </c>
      <c r="G28" s="88">
        <f>E28-D28</f>
        <v>0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11670.96</v>
      </c>
      <c r="E29" s="88">
        <v>11670.96</v>
      </c>
      <c r="F29" s="88">
        <f>D29</f>
        <v>11670.96</v>
      </c>
      <c r="G29" s="88">
        <f>E29-D29</f>
        <v>0</v>
      </c>
    </row>
    <row r="30" spans="1:7" ht="15">
      <c r="A30" s="34" t="s">
        <v>42</v>
      </c>
      <c r="B30" s="34" t="s">
        <v>143</v>
      </c>
      <c r="C30" s="205"/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301</v>
      </c>
      <c r="D31" s="88">
        <v>8980.28</v>
      </c>
      <c r="E31" s="88">
        <v>8980.28</v>
      </c>
      <c r="F31" s="88">
        <f>D31</f>
        <v>8980.28</v>
      </c>
      <c r="G31" s="88">
        <f>E31-D31</f>
        <v>0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D12+D17+D23+D25+D26+D27-E17-E23-E25-E26-E27</f>
        <v>0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3633.5375999999997</v>
      </c>
      <c r="H35" s="66"/>
      <c r="I35" s="66"/>
    </row>
    <row r="36" spans="1:13" s="106" customFormat="1" ht="9.75" customHeight="1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1" ht="23.2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</row>
    <row r="39" spans="1:14" s="78" customFormat="1" ht="37.5" customHeight="1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N39" s="112"/>
    </row>
    <row r="40" spans="1:14" s="119" customFormat="1" ht="15">
      <c r="A40" s="113" t="s">
        <v>47</v>
      </c>
      <c r="B40" s="342" t="s">
        <v>114</v>
      </c>
      <c r="C40" s="345"/>
      <c r="D40" s="115"/>
      <c r="E40" s="115"/>
      <c r="F40" s="356">
        <f>SUM(F41:G42)</f>
        <v>576.9344</v>
      </c>
      <c r="G40" s="351"/>
      <c r="H40" s="270"/>
      <c r="I40" s="271"/>
      <c r="N40" s="120"/>
    </row>
    <row r="41" spans="1:14" s="119" customFormat="1" ht="15">
      <c r="A41" s="34" t="s">
        <v>16</v>
      </c>
      <c r="B41" s="325" t="s">
        <v>663</v>
      </c>
      <c r="C41" s="350"/>
      <c r="D41" s="115"/>
      <c r="E41" s="159" t="s">
        <v>286</v>
      </c>
      <c r="F41" s="355">
        <v>560</v>
      </c>
      <c r="G41" s="355"/>
      <c r="H41" s="117"/>
      <c r="I41" s="118"/>
      <c r="N41" s="120"/>
    </row>
    <row r="42" spans="1:7" s="63" customFormat="1" ht="15">
      <c r="A42" s="34" t="s">
        <v>18</v>
      </c>
      <c r="B42" s="364" t="s">
        <v>207</v>
      </c>
      <c r="C42" s="365"/>
      <c r="D42" s="129"/>
      <c r="E42" s="129"/>
      <c r="F42" s="355">
        <f>E25*1%</f>
        <v>16.9344</v>
      </c>
      <c r="G42" s="355"/>
    </row>
    <row r="43" s="63" customFormat="1" ht="12.75"/>
    <row r="44" spans="1:6" s="71" customFormat="1" ht="15">
      <c r="A44" s="71" t="s">
        <v>55</v>
      </c>
      <c r="C44" s="131" t="s">
        <v>49</v>
      </c>
      <c r="F44" s="71" t="s">
        <v>93</v>
      </c>
    </row>
    <row r="45" spans="1:7" s="63" customFormat="1" ht="15">
      <c r="A45" s="71"/>
      <c r="B45" s="71"/>
      <c r="C45" s="131"/>
      <c r="D45" s="71"/>
      <c r="E45" s="71"/>
      <c r="F45" s="132" t="s">
        <v>296</v>
      </c>
      <c r="G45" s="71"/>
    </row>
    <row r="46" spans="1:10" s="63" customFormat="1" ht="15">
      <c r="A46" s="71" t="s">
        <v>50</v>
      </c>
      <c r="B46" s="71"/>
      <c r="C46" s="131"/>
      <c r="D46" s="71"/>
      <c r="E46" s="71"/>
      <c r="F46" s="71"/>
      <c r="G46" s="71"/>
      <c r="H46" s="164"/>
      <c r="I46" s="164"/>
      <c r="J46" s="164"/>
    </row>
    <row r="47" spans="1:7" s="63" customFormat="1" ht="15">
      <c r="A47" s="71"/>
      <c r="B47" s="71"/>
      <c r="C47" s="133" t="s">
        <v>51</v>
      </c>
      <c r="D47" s="71"/>
      <c r="E47" s="134"/>
      <c r="F47" s="134"/>
      <c r="G47" s="134"/>
    </row>
    <row r="48" s="63" customFormat="1" ht="12.75"/>
  </sheetData>
  <sheetProtection/>
  <mergeCells count="18">
    <mergeCell ref="B41:C41"/>
    <mergeCell ref="F41:G41"/>
    <mergeCell ref="B40:C40"/>
    <mergeCell ref="F40:G40"/>
    <mergeCell ref="B42:C42"/>
    <mergeCell ref="F42:G42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J53"/>
  <sheetViews>
    <sheetView zoomScalePageLayoutView="0" workbookViewId="0" topLeftCell="A28">
      <selection activeCell="G37" sqref="G37"/>
    </sheetView>
  </sheetViews>
  <sheetFormatPr defaultColWidth="9.140625" defaultRowHeight="15" outlineLevelCol="1"/>
  <cols>
    <col min="1" max="1" width="5.7109375" style="35" customWidth="1"/>
    <col min="2" max="2" width="39.7109375" style="35" customWidth="1"/>
    <col min="3" max="3" width="14.00390625" style="35" customWidth="1"/>
    <col min="4" max="4" width="12.7109375" style="35" customWidth="1"/>
    <col min="5" max="5" width="13.140625" style="35" customWidth="1"/>
    <col min="6" max="6" width="14.57421875" style="35" customWidth="1"/>
    <col min="7" max="7" width="14.421875" style="35" customWidth="1"/>
    <col min="8" max="8" width="10.140625" style="35" hidden="1" customWidth="1" outlineLevel="1"/>
    <col min="9" max="9" width="9.421875" style="35" hidden="1" customWidth="1" outlineLevel="1"/>
    <col min="10" max="10" width="11.28125" style="35" bestFit="1" customWidth="1" collapsed="1"/>
    <col min="11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9" ht="12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</row>
    <row r="4" spans="1:9" ht="12" customHeight="1">
      <c r="A4" s="334" t="s">
        <v>1</v>
      </c>
      <c r="B4" s="333"/>
      <c r="C4" s="333"/>
      <c r="D4" s="333"/>
      <c r="E4" s="333"/>
      <c r="F4" s="333"/>
      <c r="G4" s="333"/>
      <c r="H4" s="333"/>
      <c r="I4" s="333"/>
    </row>
    <row r="5" ht="4.5" customHeight="1"/>
    <row r="6" spans="1:6" s="71" customFormat="1" ht="16.5" customHeight="1">
      <c r="A6" s="71" t="s">
        <v>2</v>
      </c>
      <c r="F6" s="132" t="s">
        <v>59</v>
      </c>
    </row>
    <row r="7" spans="1:6" s="71" customFormat="1" ht="15">
      <c r="A7" s="71" t="s">
        <v>3</v>
      </c>
      <c r="F7" s="132" t="s">
        <v>592</v>
      </c>
    </row>
    <row r="8" s="71" customFormat="1" ht="15"/>
    <row r="9" spans="1:9" s="71" customFormat="1" ht="15">
      <c r="A9" s="318" t="s">
        <v>8</v>
      </c>
      <c r="B9" s="318"/>
      <c r="C9" s="318"/>
      <c r="D9" s="318"/>
      <c r="E9" s="318"/>
      <c r="F9" s="318"/>
      <c r="G9" s="318"/>
      <c r="H9" s="318"/>
      <c r="I9" s="318"/>
    </row>
    <row r="10" spans="1:9" s="71" customFormat="1" ht="1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9" customHeight="1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6.5" customHeight="1" thickBot="1">
      <c r="A12" s="319" t="s">
        <v>419</v>
      </c>
      <c r="B12" s="320"/>
      <c r="C12" s="320"/>
      <c r="D12" s="50">
        <v>33820.39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556</v>
      </c>
      <c r="B14" s="68"/>
      <c r="C14" s="68"/>
      <c r="D14" s="73"/>
      <c r="E14" s="74"/>
      <c r="F14" s="74"/>
      <c r="G14" s="151">
        <f>'[1]Пионерская 15'!$G$36</f>
        <v>94418.53</v>
      </c>
      <c r="H14" s="66"/>
      <c r="I14" s="66"/>
    </row>
    <row r="15" spans="1:9" s="71" customFormat="1" ht="15.75" thickBot="1">
      <c r="A15" s="67" t="s">
        <v>514</v>
      </c>
      <c r="B15" s="68"/>
      <c r="C15" s="68"/>
      <c r="D15" s="73"/>
      <c r="E15" s="74"/>
      <c r="F15" s="74"/>
      <c r="G15" s="151">
        <f>'[1]Пионерская 15'!$G$37</f>
        <v>-143312.88929999998</v>
      </c>
      <c r="H15" s="66"/>
      <c r="I15" s="66"/>
    </row>
    <row r="16" s="71" customFormat="1" ht="6.75" customHeight="1"/>
    <row r="17" spans="1:7" s="78" customFormat="1" ht="38.25">
      <c r="A17" s="76" t="s">
        <v>11</v>
      </c>
      <c r="B17" s="76" t="s">
        <v>12</v>
      </c>
      <c r="C17" s="76" t="s">
        <v>94</v>
      </c>
      <c r="D17" s="76" t="s">
        <v>283</v>
      </c>
      <c r="E17" s="76" t="s">
        <v>284</v>
      </c>
      <c r="F17" s="77" t="s">
        <v>298</v>
      </c>
      <c r="G17" s="76" t="s">
        <v>299</v>
      </c>
    </row>
    <row r="18" spans="1:8" s="175" customFormat="1" ht="14.25" customHeight="1">
      <c r="A18" s="79" t="s">
        <v>14</v>
      </c>
      <c r="B18" s="41" t="s">
        <v>15</v>
      </c>
      <c r="C18" s="141">
        <f>C19+C20+C21+C22</f>
        <v>9.53</v>
      </c>
      <c r="D18" s="80">
        <v>461513.04</v>
      </c>
      <c r="E18" s="80">
        <f>466564.1+0.35</f>
        <v>466564.44999999995</v>
      </c>
      <c r="F18" s="80">
        <f>D18</f>
        <v>461513.04</v>
      </c>
      <c r="G18" s="81">
        <f aca="true" t="shared" si="0" ref="G18:G27">E18-D18</f>
        <v>5051.409999999974</v>
      </c>
      <c r="H18" s="152">
        <f>C18</f>
        <v>9.53</v>
      </c>
    </row>
    <row r="19" spans="1:9" s="71" customFormat="1" ht="14.25" customHeight="1">
      <c r="A19" s="85" t="s">
        <v>16</v>
      </c>
      <c r="B19" s="34" t="s">
        <v>17</v>
      </c>
      <c r="C19" s="103">
        <v>3.34</v>
      </c>
      <c r="D19" s="87">
        <f>D18*I19</f>
        <v>161747.48726128016</v>
      </c>
      <c r="E19" s="87">
        <f>E18*I19</f>
        <v>163517.8660020986</v>
      </c>
      <c r="F19" s="87">
        <f>D19</f>
        <v>161747.48726128016</v>
      </c>
      <c r="G19" s="88">
        <f t="shared" si="0"/>
        <v>1770.3787408184435</v>
      </c>
      <c r="H19" s="152">
        <f>C19</f>
        <v>3.34</v>
      </c>
      <c r="I19" s="71">
        <f>H19/H18</f>
        <v>0.35047219307450156</v>
      </c>
    </row>
    <row r="20" spans="1:9" s="71" customFormat="1" ht="14.25" customHeight="1">
      <c r="A20" s="85" t="s">
        <v>18</v>
      </c>
      <c r="B20" s="34" t="s">
        <v>19</v>
      </c>
      <c r="C20" s="103">
        <v>1.63</v>
      </c>
      <c r="D20" s="87">
        <f>D18*I20</f>
        <v>78936.64797481637</v>
      </c>
      <c r="E20" s="87">
        <f>E18*I20</f>
        <v>79800.63520461699</v>
      </c>
      <c r="F20" s="87">
        <f>D20</f>
        <v>78936.64797481637</v>
      </c>
      <c r="G20" s="88">
        <f t="shared" si="0"/>
        <v>863.987229800623</v>
      </c>
      <c r="H20" s="152">
        <f>C20</f>
        <v>1.63</v>
      </c>
      <c r="I20" s="71">
        <f>H20/H18</f>
        <v>0.17103882476390347</v>
      </c>
    </row>
    <row r="21" spans="1:9" s="71" customFormat="1" ht="14.25" customHeight="1">
      <c r="A21" s="85" t="s">
        <v>20</v>
      </c>
      <c r="B21" s="34" t="s">
        <v>21</v>
      </c>
      <c r="C21" s="103">
        <v>1.63</v>
      </c>
      <c r="D21" s="87">
        <f>D18*I21</f>
        <v>78936.64797481637</v>
      </c>
      <c r="E21" s="87">
        <f>E18*I21</f>
        <v>79800.63520461699</v>
      </c>
      <c r="F21" s="87">
        <f>D21</f>
        <v>78936.64797481637</v>
      </c>
      <c r="G21" s="88">
        <f t="shared" si="0"/>
        <v>863.987229800623</v>
      </c>
      <c r="H21" s="152">
        <f>C21</f>
        <v>1.63</v>
      </c>
      <c r="I21" s="71">
        <f>H21/H18</f>
        <v>0.17103882476390347</v>
      </c>
    </row>
    <row r="22" spans="1:9" s="71" customFormat="1" ht="15">
      <c r="A22" s="85" t="s">
        <v>22</v>
      </c>
      <c r="B22" s="34" t="s">
        <v>23</v>
      </c>
      <c r="C22" s="103">
        <v>2.93</v>
      </c>
      <c r="D22" s="87">
        <f>D18*I22</f>
        <v>141892.2567890871</v>
      </c>
      <c r="E22" s="87">
        <f>E18*I22</f>
        <v>143445.31358866737</v>
      </c>
      <c r="F22" s="87">
        <f>D22</f>
        <v>141892.2567890871</v>
      </c>
      <c r="G22" s="88">
        <f t="shared" si="0"/>
        <v>1553.0567995802558</v>
      </c>
      <c r="H22" s="152">
        <f>C22</f>
        <v>2.93</v>
      </c>
      <c r="I22" s="71">
        <f>H22/H18</f>
        <v>0.30745015739769155</v>
      </c>
    </row>
    <row r="23" spans="1:7" s="39" customFormat="1" ht="14.25" customHeight="1">
      <c r="A23" s="41" t="s">
        <v>25</v>
      </c>
      <c r="B23" s="146" t="s">
        <v>26</v>
      </c>
      <c r="C23" s="101">
        <v>0</v>
      </c>
      <c r="D23" s="81">
        <v>0</v>
      </c>
      <c r="E23" s="81">
        <v>0</v>
      </c>
      <c r="F23" s="80">
        <f aca="true" t="shared" si="1" ref="F23:F32">D23</f>
        <v>0</v>
      </c>
      <c r="G23" s="81">
        <f t="shared" si="0"/>
        <v>0</v>
      </c>
    </row>
    <row r="24" spans="1:7" s="39" customFormat="1" ht="14.25" customHeight="1">
      <c r="A24" s="41" t="s">
        <v>27</v>
      </c>
      <c r="B24" s="146" t="s">
        <v>28</v>
      </c>
      <c r="C24" s="101">
        <v>0</v>
      </c>
      <c r="D24" s="81">
        <v>0</v>
      </c>
      <c r="E24" s="81">
        <v>0</v>
      </c>
      <c r="F24" s="80">
        <f>D24</f>
        <v>0</v>
      </c>
      <c r="G24" s="81">
        <f t="shared" si="0"/>
        <v>0</v>
      </c>
    </row>
    <row r="25" spans="1:9" s="39" customFormat="1" ht="14.25" customHeight="1">
      <c r="A25" s="41" t="s">
        <v>29</v>
      </c>
      <c r="B25" s="146" t="s">
        <v>170</v>
      </c>
      <c r="C25" s="147" t="s">
        <v>314</v>
      </c>
      <c r="D25" s="81">
        <v>0</v>
      </c>
      <c r="E25" s="81">
        <v>0</v>
      </c>
      <c r="F25" s="80">
        <f t="shared" si="1"/>
        <v>0</v>
      </c>
      <c r="G25" s="81">
        <f t="shared" si="0"/>
        <v>0</v>
      </c>
      <c r="H25" s="39">
        <f>39.62+1902.11</f>
        <v>1941.7299999999998</v>
      </c>
      <c r="I25" s="39">
        <f>H25/3919.4</f>
        <v>0.4954151145583507</v>
      </c>
    </row>
    <row r="26" spans="1:10" s="39" customFormat="1" ht="14.25" customHeight="1">
      <c r="A26" s="41" t="s">
        <v>31</v>
      </c>
      <c r="B26" s="146" t="s">
        <v>119</v>
      </c>
      <c r="C26" s="101">
        <v>1.8</v>
      </c>
      <c r="D26" s="81">
        <v>84660.3</v>
      </c>
      <c r="E26" s="81">
        <v>87304.62</v>
      </c>
      <c r="F26" s="80">
        <f>F42</f>
        <v>51715.0462</v>
      </c>
      <c r="G26" s="81">
        <f t="shared" si="0"/>
        <v>2644.3199999999924</v>
      </c>
      <c r="J26" s="193"/>
    </row>
    <row r="27" spans="1:7" s="39" customFormat="1" ht="14.25" customHeight="1">
      <c r="A27" s="41" t="s">
        <v>33</v>
      </c>
      <c r="B27" s="140" t="s">
        <v>34</v>
      </c>
      <c r="C27" s="46">
        <v>0</v>
      </c>
      <c r="D27" s="81">
        <v>0</v>
      </c>
      <c r="E27" s="81">
        <v>0</v>
      </c>
      <c r="F27" s="80">
        <f>D27</f>
        <v>0</v>
      </c>
      <c r="G27" s="81">
        <f t="shared" si="0"/>
        <v>0</v>
      </c>
    </row>
    <row r="28" spans="1:7" s="39" customFormat="1" ht="14.25" customHeight="1">
      <c r="A28" s="41" t="s">
        <v>35</v>
      </c>
      <c r="B28" s="140" t="s">
        <v>36</v>
      </c>
      <c r="C28" s="101"/>
      <c r="D28" s="81">
        <f>SUM(D29:D32)</f>
        <v>1602552.46</v>
      </c>
      <c r="E28" s="81">
        <f>SUM(E29:E32)</f>
        <v>1661117.62</v>
      </c>
      <c r="F28" s="80">
        <f t="shared" si="1"/>
        <v>1602552.46</v>
      </c>
      <c r="G28" s="81">
        <f>SUM(G29:G32)</f>
        <v>58565.16000000023</v>
      </c>
    </row>
    <row r="29" spans="1:7" ht="14.25" customHeight="1">
      <c r="A29" s="34" t="s">
        <v>37</v>
      </c>
      <c r="B29" s="34" t="s">
        <v>174</v>
      </c>
      <c r="C29" s="103" t="s">
        <v>300</v>
      </c>
      <c r="D29" s="88">
        <v>43910.71</v>
      </c>
      <c r="E29" s="88">
        <v>45559.06</v>
      </c>
      <c r="F29" s="87">
        <f>D29</f>
        <v>43910.71</v>
      </c>
      <c r="G29" s="88">
        <f>E29-D29</f>
        <v>1648.3499999999985</v>
      </c>
    </row>
    <row r="30" spans="1:7" ht="14.25" customHeight="1">
      <c r="A30" s="34" t="s">
        <v>39</v>
      </c>
      <c r="B30" s="34" t="s">
        <v>142</v>
      </c>
      <c r="C30" s="103" t="s">
        <v>315</v>
      </c>
      <c r="D30" s="88">
        <v>499137.11</v>
      </c>
      <c r="E30" s="88">
        <v>521635.96</v>
      </c>
      <c r="F30" s="87">
        <f t="shared" si="1"/>
        <v>499137.11</v>
      </c>
      <c r="G30" s="88">
        <f>E30-D30</f>
        <v>22498.850000000035</v>
      </c>
    </row>
    <row r="31" spans="1:7" ht="14.25" customHeight="1">
      <c r="A31" s="34" t="s">
        <v>42</v>
      </c>
      <c r="B31" s="34" t="s">
        <v>40</v>
      </c>
      <c r="C31" s="149">
        <v>0</v>
      </c>
      <c r="D31" s="88">
        <v>0</v>
      </c>
      <c r="E31" s="88">
        <v>0</v>
      </c>
      <c r="F31" s="87">
        <f t="shared" si="1"/>
        <v>0</v>
      </c>
      <c r="G31" s="88">
        <f>E31-D31</f>
        <v>0</v>
      </c>
    </row>
    <row r="32" spans="1:7" ht="14.25" customHeight="1">
      <c r="A32" s="34" t="s">
        <v>41</v>
      </c>
      <c r="B32" s="34" t="s">
        <v>43</v>
      </c>
      <c r="C32" s="103" t="s">
        <v>301</v>
      </c>
      <c r="D32" s="88">
        <v>1059504.64</v>
      </c>
      <c r="E32" s="88">
        <v>1093922.6</v>
      </c>
      <c r="F32" s="87">
        <f t="shared" si="1"/>
        <v>1059504.64</v>
      </c>
      <c r="G32" s="88">
        <f>E32-D32</f>
        <v>34417.960000000196</v>
      </c>
    </row>
    <row r="33" spans="1:9" s="106" customFormat="1" ht="15" customHeight="1" thickBot="1">
      <c r="A33" s="108"/>
      <c r="B33" s="108"/>
      <c r="C33" s="108"/>
      <c r="D33" s="105"/>
      <c r="E33" s="105"/>
      <c r="F33" s="105"/>
      <c r="G33" s="105"/>
      <c r="H33" s="105"/>
      <c r="I33" s="105"/>
    </row>
    <row r="34" spans="1:9" s="71" customFormat="1" ht="15.75" thickBot="1">
      <c r="A34" s="319" t="s">
        <v>591</v>
      </c>
      <c r="B34" s="320"/>
      <c r="C34" s="320"/>
      <c r="D34" s="151">
        <f>D12+D18+D24+D26+D27+D28+D25-E25-E18-E24-E26-E27-E28</f>
        <v>-32440.5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557</v>
      </c>
      <c r="B36" s="68"/>
      <c r="C36" s="68"/>
      <c r="D36" s="73"/>
      <c r="E36" s="74"/>
      <c r="F36" s="74"/>
      <c r="G36" s="151">
        <f>G14+E27-F27</f>
        <v>94418.53</v>
      </c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G15+E26+F26</f>
        <v>-4293.223099999988</v>
      </c>
      <c r="H37" s="66"/>
      <c r="I37" s="66"/>
    </row>
    <row r="38" spans="1:9" s="71" customFormat="1" ht="15">
      <c r="A38" s="72"/>
      <c r="B38" s="72"/>
      <c r="C38" s="72"/>
      <c r="D38" s="40"/>
      <c r="E38" s="70"/>
      <c r="F38" s="70"/>
      <c r="G38" s="40"/>
      <c r="H38" s="66"/>
      <c r="I38" s="66"/>
    </row>
    <row r="39" spans="1:9" ht="31.5" customHeight="1">
      <c r="A39" s="321" t="s">
        <v>44</v>
      </c>
      <c r="B39" s="349"/>
      <c r="C39" s="349"/>
      <c r="D39" s="349"/>
      <c r="E39" s="349"/>
      <c r="F39" s="349"/>
      <c r="G39" s="349"/>
      <c r="H39" s="62"/>
      <c r="I39" s="62"/>
    </row>
    <row r="40" ht="9" customHeight="1"/>
    <row r="41" spans="1:7" s="179" customFormat="1" ht="28.5" customHeight="1">
      <c r="A41" s="109" t="s">
        <v>11</v>
      </c>
      <c r="B41" s="188" t="s">
        <v>45</v>
      </c>
      <c r="C41" s="189"/>
      <c r="D41" s="109" t="s">
        <v>172</v>
      </c>
      <c r="E41" s="109" t="s">
        <v>171</v>
      </c>
      <c r="F41" s="340" t="s">
        <v>46</v>
      </c>
      <c r="G41" s="351"/>
    </row>
    <row r="42" spans="1:7" s="119" customFormat="1" ht="15" customHeight="1">
      <c r="A42" s="113">
        <v>1</v>
      </c>
      <c r="B42" s="342" t="s">
        <v>114</v>
      </c>
      <c r="C42" s="345"/>
      <c r="D42" s="113"/>
      <c r="E42" s="113"/>
      <c r="F42" s="356">
        <f>SUM(F43:G45)</f>
        <v>51715.0462</v>
      </c>
      <c r="G42" s="351"/>
    </row>
    <row r="43" spans="1:7" ht="15.75" customHeight="1">
      <c r="A43" s="34" t="s">
        <v>16</v>
      </c>
      <c r="B43" s="194" t="s">
        <v>628</v>
      </c>
      <c r="C43" s="195"/>
      <c r="D43" s="130" t="s">
        <v>352</v>
      </c>
      <c r="E43" s="196">
        <v>0.529</v>
      </c>
      <c r="F43" s="355">
        <v>15842</v>
      </c>
      <c r="G43" s="355"/>
    </row>
    <row r="44" spans="1:7" ht="15.75" customHeight="1">
      <c r="A44" s="34" t="s">
        <v>18</v>
      </c>
      <c r="B44" s="194" t="s">
        <v>702</v>
      </c>
      <c r="C44" s="195"/>
      <c r="D44" s="130" t="s">
        <v>173</v>
      </c>
      <c r="E44" s="196">
        <v>1</v>
      </c>
      <c r="F44" s="355">
        <v>35000</v>
      </c>
      <c r="G44" s="355"/>
    </row>
    <row r="45" spans="1:7" ht="15.75" customHeight="1">
      <c r="A45" s="34" t="s">
        <v>20</v>
      </c>
      <c r="B45" s="155" t="s">
        <v>207</v>
      </c>
      <c r="C45" s="156"/>
      <c r="D45" s="123"/>
      <c r="E45" s="123"/>
      <c r="F45" s="355">
        <f>E26*1%</f>
        <v>873.0462</v>
      </c>
      <c r="G45" s="355"/>
    </row>
    <row r="46" spans="1:7" ht="15.75" customHeight="1">
      <c r="A46" s="176"/>
      <c r="B46" s="191"/>
      <c r="C46" s="191"/>
      <c r="D46" s="191"/>
      <c r="E46" s="191"/>
      <c r="F46" s="192"/>
      <c r="G46" s="192"/>
    </row>
    <row r="47" spans="2:5" ht="9" customHeight="1">
      <c r="B47" s="162"/>
      <c r="C47" s="162"/>
      <c r="D47" s="162"/>
      <c r="E47" s="162"/>
    </row>
    <row r="48" spans="1:5" s="71" customFormat="1" ht="15">
      <c r="A48" s="71" t="s">
        <v>55</v>
      </c>
      <c r="C48" s="71" t="s">
        <v>49</v>
      </c>
      <c r="E48" s="71" t="s">
        <v>93</v>
      </c>
    </row>
    <row r="49" s="71" customFormat="1" ht="7.5" customHeight="1"/>
    <row r="50" s="71" customFormat="1" ht="13.5" customHeight="1">
      <c r="F50" s="132" t="s">
        <v>296</v>
      </c>
    </row>
    <row r="51" s="71" customFormat="1" ht="7.5" customHeight="1"/>
    <row r="52" s="71" customFormat="1" ht="15">
      <c r="A52" s="71" t="s">
        <v>50</v>
      </c>
    </row>
    <row r="53" spans="3:7" s="71" customFormat="1" ht="15">
      <c r="C53" s="134" t="s">
        <v>51</v>
      </c>
      <c r="E53" s="134"/>
      <c r="F53" s="134"/>
      <c r="G53" s="134"/>
    </row>
    <row r="54" s="71" customFormat="1" ht="15"/>
    <row r="55" s="71" customFormat="1" ht="15"/>
  </sheetData>
  <sheetProtection/>
  <mergeCells count="16">
    <mergeCell ref="A10:I10"/>
    <mergeCell ref="A1:I1"/>
    <mergeCell ref="A2:I2"/>
    <mergeCell ref="A4:I4"/>
    <mergeCell ref="A9:I9"/>
    <mergeCell ref="A3:I3"/>
    <mergeCell ref="F45:G45"/>
    <mergeCell ref="F43:G43"/>
    <mergeCell ref="F42:G42"/>
    <mergeCell ref="A11:I11"/>
    <mergeCell ref="F41:G41"/>
    <mergeCell ref="A12:C12"/>
    <mergeCell ref="A34:C34"/>
    <mergeCell ref="B42:C42"/>
    <mergeCell ref="A39:G39"/>
    <mergeCell ref="F44:G44"/>
  </mergeCells>
  <printOptions/>
  <pageMargins left="0.7874015748031497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4.8515625" style="61" customWidth="1"/>
    <col min="2" max="2" width="48.57421875" style="61" customWidth="1"/>
    <col min="3" max="3" width="15.8515625" style="61" customWidth="1"/>
    <col min="4" max="4" width="14.8515625" style="61" customWidth="1"/>
    <col min="5" max="5" width="12.57421875" style="61" customWidth="1"/>
    <col min="6" max="6" width="12.42187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140625" style="6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187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600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117437.74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'[1]Дубрава 2'!$G$35</f>
        <v>-14833.3084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6" s="83" customFormat="1" ht="14.25">
      <c r="A17" s="79" t="s">
        <v>14</v>
      </c>
      <c r="B17" s="41" t="s">
        <v>15</v>
      </c>
      <c r="C17" s="141">
        <f>C18+C19+C20+C21</f>
        <v>9.53</v>
      </c>
      <c r="D17" s="80">
        <v>106884.57</v>
      </c>
      <c r="E17" s="80">
        <v>78206.35</v>
      </c>
      <c r="F17" s="80">
        <f>D17</f>
        <v>106884.57</v>
      </c>
      <c r="G17" s="81">
        <f>E17-D17</f>
        <v>-28678.22</v>
      </c>
      <c r="H17" s="82">
        <f>C17</f>
        <v>9.53</v>
      </c>
      <c r="O17" s="142"/>
      <c r="P17" s="143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37460.06965372508</v>
      </c>
      <c r="E18" s="87">
        <f>E17*I18</f>
        <v>27409.150996852048</v>
      </c>
      <c r="F18" s="87">
        <f>D18</f>
        <v>37460.06965372508</v>
      </c>
      <c r="G18" s="88">
        <f aca="true" t="shared" si="0" ref="G18:G26">E18-D18</f>
        <v>-10050.91865687303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18281.411238195175</v>
      </c>
      <c r="E19" s="87">
        <f>E17*I19</f>
        <v>13376.322193074504</v>
      </c>
      <c r="F19" s="87">
        <f>D19</f>
        <v>18281.411238195175</v>
      </c>
      <c r="G19" s="88">
        <f t="shared" si="0"/>
        <v>-4905.089045120671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18281.411238195175</v>
      </c>
      <c r="E20" s="87">
        <f>E17*I20</f>
        <v>13376.322193074504</v>
      </c>
      <c r="F20" s="87">
        <f>D20</f>
        <v>18281.411238195175</v>
      </c>
      <c r="G20" s="88">
        <f t="shared" si="0"/>
        <v>-4905.089045120671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32861.67786988458</v>
      </c>
      <c r="E21" s="87">
        <f>E17*I21</f>
        <v>24044.554616998957</v>
      </c>
      <c r="F21" s="87">
        <f>D21</f>
        <v>32861.67786988458</v>
      </c>
      <c r="G21" s="88">
        <f t="shared" si="0"/>
        <v>-8817.123252885624</v>
      </c>
      <c r="H21" s="82">
        <f>C21</f>
        <v>2.93</v>
      </c>
      <c r="I21" s="63">
        <f>H21/H17</f>
        <v>0.30745015739769155</v>
      </c>
    </row>
    <row r="22" spans="1:7" s="92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</row>
    <row r="23" spans="1:7" s="92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</row>
    <row r="24" spans="1:7" s="92" customFormat="1" ht="14.25">
      <c r="A24" s="90" t="s">
        <v>29</v>
      </c>
      <c r="B24" s="90" t="s">
        <v>507</v>
      </c>
      <c r="C24" s="147">
        <v>46.22</v>
      </c>
      <c r="D24" s="91">
        <v>221828.22</v>
      </c>
      <c r="E24" s="91">
        <v>167781.72</v>
      </c>
      <c r="F24" s="91">
        <v>0</v>
      </c>
      <c r="G24" s="91">
        <f t="shared" si="0"/>
        <v>-54046.5</v>
      </c>
    </row>
    <row r="25" spans="1:7" s="92" customFormat="1" ht="14.25">
      <c r="A25" s="90" t="s">
        <v>31</v>
      </c>
      <c r="B25" s="90" t="s">
        <v>119</v>
      </c>
      <c r="C25" s="91">
        <v>1.8</v>
      </c>
      <c r="D25" s="91">
        <v>20159.8</v>
      </c>
      <c r="E25" s="91">
        <v>14662.49</v>
      </c>
      <c r="F25" s="91">
        <f>F40-F24</f>
        <v>20631.7449</v>
      </c>
      <c r="G25" s="91">
        <f>E25-D25</f>
        <v>-5497.3099999999995</v>
      </c>
    </row>
    <row r="26" spans="1:7" s="102" customFormat="1" ht="14.25">
      <c r="A26" s="41" t="s">
        <v>33</v>
      </c>
      <c r="B26" s="41" t="s">
        <v>170</v>
      </c>
      <c r="C26" s="81">
        <v>39.62</v>
      </c>
      <c r="D26" s="81">
        <v>0</v>
      </c>
      <c r="E26" s="81">
        <v>0</v>
      </c>
      <c r="F26" s="91">
        <v>0</v>
      </c>
      <c r="G26" s="81">
        <f t="shared" si="0"/>
        <v>0</v>
      </c>
    </row>
    <row r="27" spans="1:7" s="102" customFormat="1" ht="14.25">
      <c r="A27" s="41" t="s">
        <v>35</v>
      </c>
      <c r="B27" s="41" t="s">
        <v>36</v>
      </c>
      <c r="C27" s="81"/>
      <c r="D27" s="81">
        <f>SUM(D28:D31)</f>
        <v>295853.77999999997</v>
      </c>
      <c r="E27" s="81">
        <f>SUM(E28:E31)</f>
        <v>289179.80000000005</v>
      </c>
      <c r="F27" s="81">
        <f>SUM(F28:F31)</f>
        <v>295853.77999999997</v>
      </c>
      <c r="G27" s="81">
        <f>SUM(G28:G31)</f>
        <v>-6673.979999999978</v>
      </c>
    </row>
    <row r="28" spans="1:7" ht="15">
      <c r="A28" s="34" t="s">
        <v>37</v>
      </c>
      <c r="B28" s="34" t="s">
        <v>174</v>
      </c>
      <c r="C28" s="103" t="s">
        <v>408</v>
      </c>
      <c r="D28" s="88">
        <v>2919.68</v>
      </c>
      <c r="E28" s="88">
        <v>2119.49</v>
      </c>
      <c r="F28" s="88">
        <f>D28</f>
        <v>2919.68</v>
      </c>
      <c r="G28" s="88">
        <f>E28-D28</f>
        <v>-800.19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115420.73</v>
      </c>
      <c r="E29" s="88">
        <v>98025.99</v>
      </c>
      <c r="F29" s="88">
        <f>D29</f>
        <v>115420.73</v>
      </c>
      <c r="G29" s="88">
        <f>E29-D29</f>
        <v>-17394.73999999999</v>
      </c>
    </row>
    <row r="30" spans="1:7" ht="15">
      <c r="A30" s="34" t="s">
        <v>42</v>
      </c>
      <c r="B30" s="34" t="s">
        <v>143</v>
      </c>
      <c r="C30" s="205"/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301</v>
      </c>
      <c r="D31" s="88">
        <v>177513.37</v>
      </c>
      <c r="E31" s="88">
        <v>189034.32</v>
      </c>
      <c r="F31" s="88">
        <f>D31</f>
        <v>177513.37</v>
      </c>
      <c r="G31" s="88">
        <f>E31-D31</f>
        <v>11520.950000000012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D12+D17+D23+D24+D25+D26+D27-E17-E23-E24-E25-E26-E27</f>
        <v>212333.75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G14+E25-F25+E24-F24</f>
        <v>146979.1567</v>
      </c>
      <c r="H35" s="66"/>
      <c r="I35" s="66"/>
    </row>
    <row r="36" spans="1:13" s="106" customFormat="1" ht="9.75" customHeight="1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1" ht="28.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</row>
    <row r="39" spans="1:14" s="78" customFormat="1" ht="37.5" customHeight="1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N39" s="112"/>
    </row>
    <row r="40" spans="1:14" s="119" customFormat="1" ht="15">
      <c r="A40" s="113" t="s">
        <v>47</v>
      </c>
      <c r="B40" s="342" t="s">
        <v>114</v>
      </c>
      <c r="C40" s="345"/>
      <c r="D40" s="115"/>
      <c r="E40" s="115"/>
      <c r="F40" s="356">
        <f>SUM(F41:G44)</f>
        <v>20631.7449</v>
      </c>
      <c r="G40" s="351"/>
      <c r="H40" s="270"/>
      <c r="I40" s="271"/>
      <c r="N40" s="120"/>
    </row>
    <row r="41" spans="1:14" ht="29.25" customHeight="1">
      <c r="A41" s="34" t="s">
        <v>16</v>
      </c>
      <c r="B41" s="325" t="s">
        <v>375</v>
      </c>
      <c r="C41" s="327"/>
      <c r="D41" s="123" t="s">
        <v>285</v>
      </c>
      <c r="E41" s="123">
        <v>1</v>
      </c>
      <c r="F41" s="366">
        <v>10000</v>
      </c>
      <c r="G41" s="367"/>
      <c r="H41" s="272"/>
      <c r="I41" s="273"/>
      <c r="N41" s="124"/>
    </row>
    <row r="42" spans="1:7" ht="15">
      <c r="A42" s="34" t="s">
        <v>18</v>
      </c>
      <c r="B42" s="325" t="s">
        <v>357</v>
      </c>
      <c r="C42" s="327"/>
      <c r="D42" s="123" t="s">
        <v>176</v>
      </c>
      <c r="E42" s="123">
        <v>2</v>
      </c>
      <c r="F42" s="355">
        <v>8805.12</v>
      </c>
      <c r="G42" s="355"/>
    </row>
    <row r="43" spans="1:7" ht="15">
      <c r="A43" s="34" t="s">
        <v>20</v>
      </c>
      <c r="B43" s="325" t="s">
        <v>663</v>
      </c>
      <c r="C43" s="350"/>
      <c r="D43" s="123"/>
      <c r="E43" s="159" t="s">
        <v>286</v>
      </c>
      <c r="F43" s="355">
        <v>1680</v>
      </c>
      <c r="G43" s="355"/>
    </row>
    <row r="44" spans="1:7" s="63" customFormat="1" ht="15">
      <c r="A44" s="34" t="s">
        <v>22</v>
      </c>
      <c r="B44" s="194" t="s">
        <v>207</v>
      </c>
      <c r="C44" s="195"/>
      <c r="D44" s="129"/>
      <c r="E44" s="129"/>
      <c r="F44" s="355">
        <f>E25*1%</f>
        <v>146.6249</v>
      </c>
      <c r="G44" s="355"/>
    </row>
    <row r="45" s="63" customFormat="1" ht="12.75"/>
    <row r="46" spans="1:6" s="71" customFormat="1" ht="15">
      <c r="A46" s="71" t="s">
        <v>55</v>
      </c>
      <c r="C46" s="131" t="s">
        <v>49</v>
      </c>
      <c r="F46" s="71" t="s">
        <v>93</v>
      </c>
    </row>
    <row r="47" spans="1:7" s="63" customFormat="1" ht="15">
      <c r="A47" s="71"/>
      <c r="B47" s="71"/>
      <c r="C47" s="131"/>
      <c r="D47" s="71"/>
      <c r="E47" s="71"/>
      <c r="F47" s="132" t="s">
        <v>296</v>
      </c>
      <c r="G47" s="71"/>
    </row>
    <row r="48" spans="1:10" s="63" customFormat="1" ht="15">
      <c r="A48" s="71" t="s">
        <v>50</v>
      </c>
      <c r="B48" s="71"/>
      <c r="C48" s="131"/>
      <c r="D48" s="71"/>
      <c r="E48" s="71"/>
      <c r="F48" s="71"/>
      <c r="G48" s="71"/>
      <c r="H48" s="164"/>
      <c r="I48" s="164"/>
      <c r="J48" s="164"/>
    </row>
    <row r="49" spans="1:7" s="63" customFormat="1" ht="15">
      <c r="A49" s="71"/>
      <c r="B49" s="71"/>
      <c r="C49" s="133" t="s">
        <v>51</v>
      </c>
      <c r="D49" s="71"/>
      <c r="E49" s="134"/>
      <c r="F49" s="134"/>
      <c r="G49" s="134"/>
    </row>
    <row r="50" s="63" customFormat="1" ht="12.75"/>
  </sheetData>
  <sheetProtection/>
  <mergeCells count="21">
    <mergeCell ref="F44:G44"/>
    <mergeCell ref="B40:C40"/>
    <mergeCell ref="F40:G40"/>
    <mergeCell ref="B41:C41"/>
    <mergeCell ref="F41:G41"/>
    <mergeCell ref="F43:G43"/>
    <mergeCell ref="B42:C42"/>
    <mergeCell ref="F42:G42"/>
    <mergeCell ref="A11:K11"/>
    <mergeCell ref="A12:C12"/>
    <mergeCell ref="A33:C33"/>
    <mergeCell ref="B43:C4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zoomScalePageLayoutView="0" workbookViewId="0" topLeftCell="A22">
      <selection activeCell="G35" sqref="G35"/>
    </sheetView>
  </sheetViews>
  <sheetFormatPr defaultColWidth="9.140625" defaultRowHeight="15" outlineLevelCol="1"/>
  <cols>
    <col min="1" max="1" width="5.8515625" style="61" customWidth="1"/>
    <col min="2" max="2" width="47.00390625" style="61" customWidth="1"/>
    <col min="3" max="4" width="14.8515625" style="61" customWidth="1"/>
    <col min="5" max="5" width="12.57421875" style="61" customWidth="1"/>
    <col min="6" max="6" width="12.42187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140625" style="6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158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159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3359.66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'[1]Дубрава 3'!$G$35</f>
        <v>20863.7687</v>
      </c>
      <c r="H14" s="66"/>
      <c r="I14" s="66"/>
    </row>
    <row r="15" s="63" customFormat="1" ht="6.75" customHeight="1"/>
    <row r="16" spans="1:7" s="78" customFormat="1" ht="52.5" customHeight="1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6" s="63" customFormat="1" ht="28.5">
      <c r="A17" s="79" t="s">
        <v>14</v>
      </c>
      <c r="B17" s="41" t="s">
        <v>15</v>
      </c>
      <c r="C17" s="141">
        <f>C18+C19+C20+C21</f>
        <v>9.53</v>
      </c>
      <c r="D17" s="80">
        <v>82608</v>
      </c>
      <c r="E17" s="80">
        <v>80297.7</v>
      </c>
      <c r="F17" s="80">
        <f>D17</f>
        <v>82608</v>
      </c>
      <c r="G17" s="81">
        <f>E17-D17</f>
        <v>-2310.300000000003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28951.806925498426</v>
      </c>
      <c r="E18" s="87">
        <f>E17*I18</f>
        <v>28142.111017838404</v>
      </c>
      <c r="F18" s="87">
        <f>D18</f>
        <v>28951.806925498426</v>
      </c>
      <c r="G18" s="88">
        <f aca="true" t="shared" si="0" ref="G18:G26">E18-D18</f>
        <v>-809.6959076600215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14129.175236096538</v>
      </c>
      <c r="E19" s="87">
        <f>E17*I19</f>
        <v>13734.02423924449</v>
      </c>
      <c r="F19" s="87">
        <f>D19</f>
        <v>14129.175236096538</v>
      </c>
      <c r="G19" s="88">
        <f t="shared" si="0"/>
        <v>-395.1509968520477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14129.175236096538</v>
      </c>
      <c r="E20" s="87">
        <f>E17*I20</f>
        <v>13734.02423924449</v>
      </c>
      <c r="F20" s="87">
        <f>D20</f>
        <v>14129.175236096538</v>
      </c>
      <c r="G20" s="88">
        <f t="shared" si="0"/>
        <v>-395.1509968520477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25397.842602308505</v>
      </c>
      <c r="E21" s="87">
        <f>E17*I21</f>
        <v>24687.540503672615</v>
      </c>
      <c r="F21" s="87">
        <f>D21</f>
        <v>25397.842602308505</v>
      </c>
      <c r="G21" s="88">
        <f t="shared" si="0"/>
        <v>-710.3020986358897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1">
        <v>1.8</v>
      </c>
      <c r="D25" s="91">
        <v>15602.76</v>
      </c>
      <c r="E25" s="91">
        <v>15225.02</v>
      </c>
      <c r="F25" s="91">
        <f>F40</f>
        <v>32328.7202</v>
      </c>
      <c r="G25" s="91">
        <f>E25-D25</f>
        <v>-377.7399999999998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>
        <v>0</v>
      </c>
      <c r="D26" s="81">
        <v>0</v>
      </c>
      <c r="E26" s="81">
        <v>0</v>
      </c>
      <c r="F26" s="91"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126301.44</v>
      </c>
      <c r="E27" s="81">
        <f>SUM(E28:E31)</f>
        <v>125111.51000000001</v>
      </c>
      <c r="F27" s="81">
        <f>SUM(F28:F31)</f>
        <v>126301.44</v>
      </c>
      <c r="G27" s="81">
        <f>SUM(G28:G31)</f>
        <v>-1189.9299999999912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2585.52</v>
      </c>
      <c r="E28" s="88">
        <v>2519.94</v>
      </c>
      <c r="F28" s="88">
        <f>D28</f>
        <v>2585.52</v>
      </c>
      <c r="G28" s="88">
        <f>E28-D28</f>
        <v>-65.57999999999993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123715.92</v>
      </c>
      <c r="E29" s="88">
        <v>122591.57</v>
      </c>
      <c r="F29" s="88">
        <f>D29</f>
        <v>123715.92</v>
      </c>
      <c r="G29" s="88">
        <f>E29-D29</f>
        <v>-1124.3499999999913</v>
      </c>
    </row>
    <row r="30" spans="1:7" ht="15">
      <c r="A30" s="34" t="s">
        <v>42</v>
      </c>
      <c r="B30" s="34" t="s">
        <v>143</v>
      </c>
      <c r="C30" s="205"/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/>
      <c r="D31" s="88">
        <v>0</v>
      </c>
      <c r="E31" s="88">
        <v>0</v>
      </c>
      <c r="F31" s="88">
        <f>D31</f>
        <v>0</v>
      </c>
      <c r="G31" s="88">
        <f>E31-D31</f>
        <v>0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D12+D17+D23+D24+D25+D26+D27-E17-E23-E24-E25-E26-E27</f>
        <v>7237.629999999976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4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3760.068500000005</v>
      </c>
      <c r="H35" s="66"/>
      <c r="I35" s="66"/>
      <c r="N35" s="152"/>
    </row>
    <row r="36" spans="1:11" s="71" customFormat="1" ht="1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</row>
    <row r="37" spans="1:13" s="106" customFormat="1" ht="25.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105"/>
      <c r="M37" s="105"/>
    </row>
    <row r="38" ht="23.25" customHeight="1"/>
    <row r="39" spans="1:11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4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SUM(F41:F45)</f>
        <v>32328.7202</v>
      </c>
      <c r="G40" s="351"/>
      <c r="H40" s="270"/>
      <c r="I40" s="271"/>
      <c r="J40" s="119"/>
      <c r="K40" s="119"/>
      <c r="N40" s="112"/>
    </row>
    <row r="41" spans="1:14" s="78" customFormat="1" ht="15">
      <c r="A41" s="34" t="s">
        <v>16</v>
      </c>
      <c r="B41" s="364" t="s">
        <v>553</v>
      </c>
      <c r="C41" s="365"/>
      <c r="D41" s="206" t="s">
        <v>173</v>
      </c>
      <c r="E41" s="206">
        <v>3</v>
      </c>
      <c r="F41" s="392">
        <v>7332</v>
      </c>
      <c r="G41" s="351"/>
      <c r="H41" s="117"/>
      <c r="I41" s="118"/>
      <c r="J41" s="119"/>
      <c r="K41" s="119"/>
      <c r="N41" s="112"/>
    </row>
    <row r="42" spans="1:14" s="78" customFormat="1" ht="26.25">
      <c r="A42" s="34" t="s">
        <v>18</v>
      </c>
      <c r="B42" s="127" t="s">
        <v>601</v>
      </c>
      <c r="C42" s="128"/>
      <c r="D42" s="206" t="s">
        <v>173</v>
      </c>
      <c r="E42" s="206">
        <v>0.03</v>
      </c>
      <c r="F42" s="392">
        <v>18170</v>
      </c>
      <c r="G42" s="351"/>
      <c r="H42" s="117"/>
      <c r="I42" s="118"/>
      <c r="J42" s="119"/>
      <c r="K42" s="119"/>
      <c r="N42" s="112"/>
    </row>
    <row r="43" spans="1:14" s="78" customFormat="1" ht="29.25" customHeight="1">
      <c r="A43" s="34" t="s">
        <v>20</v>
      </c>
      <c r="B43" s="364" t="s">
        <v>768</v>
      </c>
      <c r="C43" s="365"/>
      <c r="D43" s="206" t="s">
        <v>285</v>
      </c>
      <c r="E43" s="206">
        <v>1</v>
      </c>
      <c r="F43" s="392">
        <v>4994.47</v>
      </c>
      <c r="G43" s="351"/>
      <c r="H43" s="117"/>
      <c r="I43" s="118"/>
      <c r="J43" s="119"/>
      <c r="K43" s="119"/>
      <c r="N43" s="112"/>
    </row>
    <row r="44" spans="1:14" s="78" customFormat="1" ht="29.25" customHeight="1">
      <c r="A44" s="34" t="s">
        <v>22</v>
      </c>
      <c r="B44" s="325" t="s">
        <v>663</v>
      </c>
      <c r="C44" s="350"/>
      <c r="D44" s="206"/>
      <c r="E44" s="159" t="s">
        <v>286</v>
      </c>
      <c r="F44" s="355">
        <v>1680</v>
      </c>
      <c r="G44" s="355"/>
      <c r="H44" s="117"/>
      <c r="I44" s="118"/>
      <c r="J44" s="119"/>
      <c r="K44" s="119"/>
      <c r="N44" s="112"/>
    </row>
    <row r="45" spans="1:7" s="63" customFormat="1" ht="15">
      <c r="A45" s="34" t="s">
        <v>24</v>
      </c>
      <c r="B45" s="364" t="s">
        <v>207</v>
      </c>
      <c r="C45" s="365"/>
      <c r="D45" s="129"/>
      <c r="E45" s="129"/>
      <c r="F45" s="355">
        <f>E25*1%</f>
        <v>152.2502</v>
      </c>
      <c r="G45" s="355"/>
    </row>
    <row r="46" s="63" customFormat="1" ht="12.75"/>
    <row r="47" spans="1:6" s="71" customFormat="1" ht="15">
      <c r="A47" s="71" t="s">
        <v>55</v>
      </c>
      <c r="C47" s="131" t="s">
        <v>49</v>
      </c>
      <c r="F47" s="71" t="s">
        <v>93</v>
      </c>
    </row>
    <row r="48" spans="1:7" s="63" customFormat="1" ht="15">
      <c r="A48" s="71"/>
      <c r="B48" s="71"/>
      <c r="C48" s="131"/>
      <c r="D48" s="71"/>
      <c r="E48" s="71"/>
      <c r="F48" s="132" t="s">
        <v>296</v>
      </c>
      <c r="G48" s="71"/>
    </row>
    <row r="49" spans="1:10" s="63" customFormat="1" ht="15">
      <c r="A49" s="71" t="s">
        <v>50</v>
      </c>
      <c r="B49" s="71"/>
      <c r="C49" s="131"/>
      <c r="D49" s="71"/>
      <c r="E49" s="71"/>
      <c r="F49" s="71"/>
      <c r="G49" s="71"/>
      <c r="H49" s="164"/>
      <c r="I49" s="164"/>
      <c r="J49" s="164"/>
    </row>
    <row r="50" spans="1:7" s="63" customFormat="1" ht="15">
      <c r="A50" s="71"/>
      <c r="B50" s="71"/>
      <c r="C50" s="133" t="s">
        <v>51</v>
      </c>
      <c r="D50" s="71"/>
      <c r="E50" s="134"/>
      <c r="F50" s="134"/>
      <c r="G50" s="134"/>
    </row>
    <row r="51" s="63" customFormat="1" ht="12.75"/>
  </sheetData>
  <sheetProtection/>
  <mergeCells count="23">
    <mergeCell ref="B44:C44"/>
    <mergeCell ref="F44:G44"/>
    <mergeCell ref="A11:K11"/>
    <mergeCell ref="F45:G45"/>
    <mergeCell ref="B45:C45"/>
    <mergeCell ref="A33:C33"/>
    <mergeCell ref="A37:K37"/>
    <mergeCell ref="B39:C39"/>
    <mergeCell ref="F39:G39"/>
    <mergeCell ref="B41:C41"/>
    <mergeCell ref="B43:C43"/>
    <mergeCell ref="F41:G41"/>
    <mergeCell ref="A12:C12"/>
    <mergeCell ref="F43:G43"/>
    <mergeCell ref="B40:C40"/>
    <mergeCell ref="F40:G40"/>
    <mergeCell ref="F42:G42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7030A0"/>
  </sheetPr>
  <dimension ref="A1:P58"/>
  <sheetViews>
    <sheetView zoomScalePageLayoutView="0" workbookViewId="0" topLeftCell="A23">
      <selection activeCell="G36" sqref="G36"/>
    </sheetView>
  </sheetViews>
  <sheetFormatPr defaultColWidth="9.140625" defaultRowHeight="15" outlineLevelCol="1"/>
  <cols>
    <col min="1" max="1" width="5.8515625" style="61" customWidth="1"/>
    <col min="2" max="2" width="47.00390625" style="61" customWidth="1"/>
    <col min="3" max="4" width="14.8515625" style="61" customWidth="1"/>
    <col min="5" max="5" width="12.57421875" style="61" customWidth="1"/>
    <col min="6" max="6" width="12.42187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7109375" style="61" bestFit="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190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602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186540.9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'[1]Дубрава 4'!$G$35</f>
        <v>36498.7269</v>
      </c>
      <c r="H14" s="66"/>
      <c r="I14" s="66"/>
    </row>
    <row r="15" s="63" customFormat="1" ht="6.75" customHeight="1"/>
    <row r="16" spans="1:7" s="78" customFormat="1" ht="52.5" customHeight="1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6" s="63" customFormat="1" ht="28.5">
      <c r="A17" s="79" t="s">
        <v>14</v>
      </c>
      <c r="B17" s="41" t="s">
        <v>15</v>
      </c>
      <c r="C17" s="141">
        <f>C18+C19+C20+C21</f>
        <v>9.53</v>
      </c>
      <c r="D17" s="80">
        <v>82427.8</v>
      </c>
      <c r="E17" s="80">
        <v>69206.93</v>
      </c>
      <c r="F17" s="80">
        <f>D17</f>
        <v>82427.8</v>
      </c>
      <c r="G17" s="81">
        <f>E17-D17</f>
        <v>-13220.87000000001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28888.651836306402</v>
      </c>
      <c r="E18" s="87">
        <f>E17*I18</f>
        <v>24255.104533053513</v>
      </c>
      <c r="F18" s="87">
        <f>D18</f>
        <v>28888.651836306402</v>
      </c>
      <c r="G18" s="88">
        <f aca="true" t="shared" si="0" ref="G18:G27">E18-D18</f>
        <v>-4633.54730325289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14098.354039874082</v>
      </c>
      <c r="E19" s="87">
        <f>E17*I19</f>
        <v>11837.071972717733</v>
      </c>
      <c r="F19" s="87">
        <f>D19</f>
        <v>14098.354039874082</v>
      </c>
      <c r="G19" s="88">
        <f t="shared" si="0"/>
        <v>-2261.2820671563495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14098.354039874082</v>
      </c>
      <c r="E20" s="87">
        <f>E17*I20</f>
        <v>11837.071972717733</v>
      </c>
      <c r="F20" s="87">
        <f>D20</f>
        <v>14098.354039874082</v>
      </c>
      <c r="G20" s="88">
        <f t="shared" si="0"/>
        <v>-2261.2820671563495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25342.44008394544</v>
      </c>
      <c r="E21" s="87">
        <f>E17*I21</f>
        <v>21277.68152151102</v>
      </c>
      <c r="F21" s="87">
        <f>D21</f>
        <v>25342.44008394544</v>
      </c>
      <c r="G21" s="88">
        <f t="shared" si="0"/>
        <v>-4064.758562434421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103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1">
        <v>5</v>
      </c>
      <c r="D25" s="91">
        <v>43038.5</v>
      </c>
      <c r="E25" s="91">
        <v>35822.86</v>
      </c>
      <c r="F25" s="91">
        <f>F41</f>
        <v>160061.4186</v>
      </c>
      <c r="G25" s="91">
        <f>E25-D25</f>
        <v>-7215.639999999999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>
        <v>39.62</v>
      </c>
      <c r="D26" s="81">
        <v>0</v>
      </c>
      <c r="E26" s="81">
        <v>0</v>
      </c>
      <c r="F26" s="91"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507</v>
      </c>
      <c r="C27" s="81">
        <v>46.37</v>
      </c>
      <c r="D27" s="81">
        <v>200040.18</v>
      </c>
      <c r="E27" s="81">
        <v>150167.16</v>
      </c>
      <c r="F27" s="91">
        <v>0</v>
      </c>
      <c r="G27" s="81">
        <f t="shared" si="0"/>
        <v>-49873.01999999999</v>
      </c>
      <c r="H27" s="102"/>
      <c r="I27" s="102"/>
      <c r="J27" s="102"/>
      <c r="K27" s="102"/>
    </row>
    <row r="28" spans="1:11" ht="14.25">
      <c r="A28" s="41" t="s">
        <v>230</v>
      </c>
      <c r="B28" s="41" t="s">
        <v>36</v>
      </c>
      <c r="C28" s="81"/>
      <c r="D28" s="81">
        <f>SUM(D29:D32)</f>
        <v>328758.20999999996</v>
      </c>
      <c r="E28" s="81">
        <f>SUM(E29:E32)</f>
        <v>302536.65</v>
      </c>
      <c r="F28" s="81">
        <f>SUM(F29:F32)</f>
        <v>328758.20999999996</v>
      </c>
      <c r="G28" s="81">
        <f>SUM(G29:G32)</f>
        <v>-26221.56</v>
      </c>
      <c r="H28" s="102"/>
      <c r="I28" s="102"/>
      <c r="J28" s="102"/>
      <c r="K28" s="102"/>
    </row>
    <row r="29" spans="1:7" ht="15">
      <c r="A29" s="34" t="s">
        <v>232</v>
      </c>
      <c r="B29" s="34" t="s">
        <v>174</v>
      </c>
      <c r="C29" s="103" t="s">
        <v>408</v>
      </c>
      <c r="D29" s="88">
        <v>2424.68</v>
      </c>
      <c r="E29" s="88">
        <v>2035.73</v>
      </c>
      <c r="F29" s="88">
        <f>D29</f>
        <v>2424.68</v>
      </c>
      <c r="G29" s="88">
        <f>E29-D29</f>
        <v>-388.9499999999998</v>
      </c>
    </row>
    <row r="30" spans="1:7" ht="15">
      <c r="A30" s="34" t="s">
        <v>233</v>
      </c>
      <c r="B30" s="34" t="s">
        <v>142</v>
      </c>
      <c r="C30" s="103" t="s">
        <v>315</v>
      </c>
      <c r="D30" s="88">
        <v>149201.93</v>
      </c>
      <c r="E30" s="88">
        <v>127758.74</v>
      </c>
      <c r="F30" s="88">
        <f>D30</f>
        <v>149201.93</v>
      </c>
      <c r="G30" s="88">
        <f>E30-D30</f>
        <v>-21443.189999999988</v>
      </c>
    </row>
    <row r="31" spans="1:7" ht="15">
      <c r="A31" s="34" t="s">
        <v>234</v>
      </c>
      <c r="B31" s="34" t="s">
        <v>143</v>
      </c>
      <c r="C31" s="149">
        <v>0</v>
      </c>
      <c r="D31" s="88">
        <v>0</v>
      </c>
      <c r="E31" s="88">
        <v>0</v>
      </c>
      <c r="F31" s="88">
        <f>D31</f>
        <v>0</v>
      </c>
      <c r="G31" s="88">
        <f>E31-D31</f>
        <v>0</v>
      </c>
    </row>
    <row r="32" spans="1:7" ht="15">
      <c r="A32" s="34" t="s">
        <v>235</v>
      </c>
      <c r="B32" s="34" t="s">
        <v>43</v>
      </c>
      <c r="C32" s="103" t="s">
        <v>301</v>
      </c>
      <c r="D32" s="88">
        <v>177131.6</v>
      </c>
      <c r="E32" s="88">
        <v>172742.18</v>
      </c>
      <c r="F32" s="88">
        <f>D32</f>
        <v>177131.6</v>
      </c>
      <c r="G32" s="88">
        <f>E32-D32</f>
        <v>-4389.420000000013</v>
      </c>
    </row>
    <row r="33" spans="1:9" s="106" customFormat="1" ht="7.5" customHeight="1" thickBot="1">
      <c r="A33" s="104"/>
      <c r="B33" s="104"/>
      <c r="C33" s="104"/>
      <c r="D33" s="105"/>
      <c r="E33" s="105"/>
      <c r="F33" s="105"/>
      <c r="G33" s="105"/>
      <c r="H33" s="105"/>
      <c r="I33" s="105"/>
    </row>
    <row r="34" spans="1:9" s="71" customFormat="1" ht="15.75" thickBot="1">
      <c r="A34" s="319" t="s">
        <v>420</v>
      </c>
      <c r="B34" s="320"/>
      <c r="C34" s="320"/>
      <c r="D34" s="69">
        <f>D12+D17+D23+D24+D25+D26+D27+D28-E17-E23-E24-E25-E26-E27-E28</f>
        <v>283071.9899999999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14" s="71" customFormat="1" ht="15.75" thickBot="1">
      <c r="A36" s="67" t="s">
        <v>558</v>
      </c>
      <c r="B36" s="68"/>
      <c r="C36" s="68"/>
      <c r="D36" s="73"/>
      <c r="E36" s="74"/>
      <c r="F36" s="74"/>
      <c r="G36" s="151">
        <f>G14+E25-F25+E27-F27</f>
        <v>62427.328299999994</v>
      </c>
      <c r="H36" s="66"/>
      <c r="I36" s="66"/>
      <c r="N36" s="152"/>
    </row>
    <row r="37" spans="1:11" s="71" customFormat="1" ht="15">
      <c r="A37" s="108"/>
      <c r="B37" s="108"/>
      <c r="C37" s="108"/>
      <c r="D37" s="108"/>
      <c r="E37" s="105"/>
      <c r="F37" s="105"/>
      <c r="G37" s="105"/>
      <c r="H37" s="105"/>
      <c r="I37" s="105"/>
      <c r="J37" s="105"/>
      <c r="K37" s="105"/>
    </row>
    <row r="38" spans="1:13" s="106" customFormat="1" ht="25.5" customHeight="1">
      <c r="A38" s="321" t="s">
        <v>44</v>
      </c>
      <c r="B38" s="321"/>
      <c r="C38" s="321"/>
      <c r="D38" s="321"/>
      <c r="E38" s="321"/>
      <c r="F38" s="321"/>
      <c r="G38" s="321"/>
      <c r="H38" s="321"/>
      <c r="I38" s="321"/>
      <c r="J38" s="321"/>
      <c r="K38" s="321"/>
      <c r="L38" s="105"/>
      <c r="M38" s="105"/>
    </row>
    <row r="39" ht="23.25" customHeight="1"/>
    <row r="40" spans="1:11" ht="28.5">
      <c r="A40" s="109" t="s">
        <v>11</v>
      </c>
      <c r="B40" s="340" t="s">
        <v>45</v>
      </c>
      <c r="C40" s="352"/>
      <c r="D40" s="109" t="s">
        <v>172</v>
      </c>
      <c r="E40" s="109" t="s">
        <v>171</v>
      </c>
      <c r="F40" s="340" t="s">
        <v>46</v>
      </c>
      <c r="G40" s="352"/>
      <c r="H40" s="268"/>
      <c r="I40" s="269"/>
      <c r="J40" s="78"/>
      <c r="K40" s="78"/>
    </row>
    <row r="41" spans="1:14" s="78" customFormat="1" ht="15">
      <c r="A41" s="113" t="s">
        <v>47</v>
      </c>
      <c r="B41" s="342" t="s">
        <v>114</v>
      </c>
      <c r="C41" s="345"/>
      <c r="D41" s="115"/>
      <c r="E41" s="115"/>
      <c r="F41" s="356">
        <f>SUM(F42:G53)</f>
        <v>160061.4186</v>
      </c>
      <c r="G41" s="351"/>
      <c r="H41" s="270"/>
      <c r="I41" s="271"/>
      <c r="J41" s="119"/>
      <c r="K41" s="119"/>
      <c r="N41" s="112"/>
    </row>
    <row r="42" spans="1:14" s="119" customFormat="1" ht="15">
      <c r="A42" s="34" t="s">
        <v>16</v>
      </c>
      <c r="B42" s="325" t="s">
        <v>603</v>
      </c>
      <c r="C42" s="327"/>
      <c r="D42" s="123" t="s">
        <v>176</v>
      </c>
      <c r="E42" s="123">
        <v>1.5</v>
      </c>
      <c r="F42" s="366">
        <v>45061.35</v>
      </c>
      <c r="G42" s="367"/>
      <c r="H42" s="272"/>
      <c r="I42" s="273"/>
      <c r="J42" s="61"/>
      <c r="K42" s="61"/>
      <c r="N42" s="120"/>
    </row>
    <row r="43" spans="1:14" s="119" customFormat="1" ht="15">
      <c r="A43" s="34" t="s">
        <v>18</v>
      </c>
      <c r="B43" s="325" t="s">
        <v>604</v>
      </c>
      <c r="C43" s="327"/>
      <c r="D43" s="123" t="s">
        <v>173</v>
      </c>
      <c r="E43" s="123">
        <v>6</v>
      </c>
      <c r="F43" s="366">
        <v>13002</v>
      </c>
      <c r="G43" s="367"/>
      <c r="H43" s="40"/>
      <c r="I43" s="40"/>
      <c r="J43" s="61"/>
      <c r="K43" s="61"/>
      <c r="N43" s="120"/>
    </row>
    <row r="44" spans="1:14" s="119" customFormat="1" ht="15">
      <c r="A44" s="34" t="s">
        <v>20</v>
      </c>
      <c r="B44" s="325" t="s">
        <v>605</v>
      </c>
      <c r="C44" s="327"/>
      <c r="D44" s="123" t="s">
        <v>173</v>
      </c>
      <c r="E44" s="123">
        <v>3</v>
      </c>
      <c r="F44" s="366">
        <v>7332</v>
      </c>
      <c r="G44" s="367"/>
      <c r="H44" s="40"/>
      <c r="I44" s="40"/>
      <c r="J44" s="61"/>
      <c r="K44" s="61"/>
      <c r="N44" s="120"/>
    </row>
    <row r="45" spans="1:14" s="119" customFormat="1" ht="15">
      <c r="A45" s="34" t="s">
        <v>22</v>
      </c>
      <c r="B45" s="325" t="s">
        <v>606</v>
      </c>
      <c r="C45" s="327"/>
      <c r="D45" s="123" t="s">
        <v>265</v>
      </c>
      <c r="E45" s="123">
        <v>0.06</v>
      </c>
      <c r="F45" s="366">
        <v>3721.77</v>
      </c>
      <c r="G45" s="367"/>
      <c r="H45" s="40"/>
      <c r="I45" s="40"/>
      <c r="J45" s="61"/>
      <c r="K45" s="61"/>
      <c r="N45" s="120"/>
    </row>
    <row r="46" spans="1:14" s="119" customFormat="1" ht="15">
      <c r="A46" s="34" t="s">
        <v>24</v>
      </c>
      <c r="B46" s="325" t="s">
        <v>554</v>
      </c>
      <c r="C46" s="327"/>
      <c r="D46" s="123" t="s">
        <v>173</v>
      </c>
      <c r="E46" s="123">
        <v>0.03</v>
      </c>
      <c r="F46" s="366">
        <v>18170</v>
      </c>
      <c r="G46" s="367"/>
      <c r="H46" s="40"/>
      <c r="I46" s="40"/>
      <c r="J46" s="61"/>
      <c r="K46" s="61"/>
      <c r="N46" s="120"/>
    </row>
    <row r="47" spans="1:14" s="119" customFormat="1" ht="27.75" customHeight="1">
      <c r="A47" s="34" t="s">
        <v>106</v>
      </c>
      <c r="B47" s="325" t="s">
        <v>608</v>
      </c>
      <c r="C47" s="327"/>
      <c r="D47" s="123" t="s">
        <v>173</v>
      </c>
      <c r="E47" s="123">
        <v>1</v>
      </c>
      <c r="F47" s="366">
        <v>10000</v>
      </c>
      <c r="G47" s="367"/>
      <c r="H47" s="40"/>
      <c r="I47" s="40"/>
      <c r="J47" s="61"/>
      <c r="K47" s="61"/>
      <c r="N47" s="120"/>
    </row>
    <row r="48" spans="1:14" s="119" customFormat="1" ht="15">
      <c r="A48" s="34" t="s">
        <v>107</v>
      </c>
      <c r="B48" s="325" t="s">
        <v>609</v>
      </c>
      <c r="C48" s="327"/>
      <c r="D48" s="123" t="s">
        <v>352</v>
      </c>
      <c r="E48" s="123">
        <v>0.08</v>
      </c>
      <c r="F48" s="366">
        <v>1867.27</v>
      </c>
      <c r="G48" s="367"/>
      <c r="H48" s="40"/>
      <c r="I48" s="40"/>
      <c r="J48" s="61"/>
      <c r="K48" s="61"/>
      <c r="N48" s="120"/>
    </row>
    <row r="49" spans="1:14" s="119" customFormat="1" ht="15">
      <c r="A49" s="34" t="s">
        <v>120</v>
      </c>
      <c r="B49" s="325" t="s">
        <v>663</v>
      </c>
      <c r="C49" s="350"/>
      <c r="D49" s="123"/>
      <c r="E49" s="159" t="s">
        <v>286</v>
      </c>
      <c r="F49" s="355">
        <v>1680</v>
      </c>
      <c r="G49" s="355"/>
      <c r="H49" s="40"/>
      <c r="I49" s="40"/>
      <c r="J49" s="61"/>
      <c r="K49" s="61"/>
      <c r="N49" s="120"/>
    </row>
    <row r="50" spans="1:14" s="119" customFormat="1" ht="25.5">
      <c r="A50" s="34" t="s">
        <v>121</v>
      </c>
      <c r="B50" s="325" t="s">
        <v>759</v>
      </c>
      <c r="C50" s="430"/>
      <c r="D50" s="123"/>
      <c r="E50" s="159" t="s">
        <v>317</v>
      </c>
      <c r="F50" s="355">
        <v>15889</v>
      </c>
      <c r="G50" s="355"/>
      <c r="H50" s="40"/>
      <c r="I50" s="40"/>
      <c r="J50" s="61"/>
      <c r="K50" s="61"/>
      <c r="N50" s="120"/>
    </row>
    <row r="51" spans="1:14" s="119" customFormat="1" ht="15">
      <c r="A51" s="34" t="s">
        <v>122</v>
      </c>
      <c r="B51" s="325" t="s">
        <v>683</v>
      </c>
      <c r="C51" s="430"/>
      <c r="D51" s="123"/>
      <c r="E51" s="159" t="s">
        <v>286</v>
      </c>
      <c r="F51" s="355">
        <v>40875</v>
      </c>
      <c r="G51" s="355"/>
      <c r="H51" s="40"/>
      <c r="I51" s="40"/>
      <c r="J51" s="61"/>
      <c r="K51" s="61"/>
      <c r="N51" s="120"/>
    </row>
    <row r="52" spans="1:14" s="119" customFormat="1" ht="15">
      <c r="A52" s="34" t="s">
        <v>144</v>
      </c>
      <c r="B52" s="325" t="s">
        <v>760</v>
      </c>
      <c r="C52" s="430"/>
      <c r="D52" s="123" t="s">
        <v>269</v>
      </c>
      <c r="E52" s="159">
        <v>0.01</v>
      </c>
      <c r="F52" s="355">
        <v>2104.8</v>
      </c>
      <c r="G52" s="355"/>
      <c r="H52" s="40"/>
      <c r="I52" s="40"/>
      <c r="J52" s="61"/>
      <c r="K52" s="61"/>
      <c r="N52" s="120"/>
    </row>
    <row r="53" spans="1:7" s="63" customFormat="1" ht="15">
      <c r="A53" s="34" t="s">
        <v>147</v>
      </c>
      <c r="B53" s="364" t="s">
        <v>207</v>
      </c>
      <c r="C53" s="365"/>
      <c r="D53" s="129"/>
      <c r="E53" s="129"/>
      <c r="F53" s="355">
        <f>E25*1%</f>
        <v>358.22860000000003</v>
      </c>
      <c r="G53" s="355"/>
    </row>
    <row r="54" s="63" customFormat="1" ht="12.75"/>
    <row r="55" spans="1:6" s="71" customFormat="1" ht="15">
      <c r="A55" s="71" t="s">
        <v>55</v>
      </c>
      <c r="C55" s="131" t="s">
        <v>49</v>
      </c>
      <c r="F55" s="71" t="s">
        <v>93</v>
      </c>
    </row>
    <row r="56" spans="1:7" s="63" customFormat="1" ht="15">
      <c r="A56" s="71"/>
      <c r="B56" s="71"/>
      <c r="C56" s="131"/>
      <c r="D56" s="71"/>
      <c r="E56" s="71"/>
      <c r="F56" s="132" t="s">
        <v>296</v>
      </c>
      <c r="G56" s="71"/>
    </row>
    <row r="57" spans="1:10" s="63" customFormat="1" ht="15">
      <c r="A57" s="71" t="s">
        <v>50</v>
      </c>
      <c r="B57" s="71"/>
      <c r="C57" s="131"/>
      <c r="D57" s="71"/>
      <c r="E57" s="71"/>
      <c r="F57" s="71"/>
      <c r="G57" s="71"/>
      <c r="H57" s="164"/>
      <c r="I57" s="164"/>
      <c r="J57" s="164"/>
    </row>
    <row r="58" spans="1:7" s="63" customFormat="1" ht="15">
      <c r="A58" s="71"/>
      <c r="B58" s="71"/>
      <c r="C58" s="133" t="s">
        <v>51</v>
      </c>
      <c r="D58" s="71"/>
      <c r="E58" s="134"/>
      <c r="F58" s="134"/>
      <c r="G58" s="134"/>
    </row>
    <row r="59" s="63" customFormat="1" ht="12.75"/>
  </sheetData>
  <sheetProtection/>
  <mergeCells count="38">
    <mergeCell ref="B51:C51"/>
    <mergeCell ref="F46:G46"/>
    <mergeCell ref="B43:C43"/>
    <mergeCell ref="B44:C44"/>
    <mergeCell ref="F47:G47"/>
    <mergeCell ref="B52:C52"/>
    <mergeCell ref="F52:G52"/>
    <mergeCell ref="F48:G48"/>
    <mergeCell ref="F49:G49"/>
    <mergeCell ref="B45:C45"/>
    <mergeCell ref="B48:C48"/>
    <mergeCell ref="A38:K38"/>
    <mergeCell ref="B40:C40"/>
    <mergeCell ref="B53:C53"/>
    <mergeCell ref="F53:G53"/>
    <mergeCell ref="A12:C12"/>
    <mergeCell ref="A34:C34"/>
    <mergeCell ref="B50:C50"/>
    <mergeCell ref="F51:G51"/>
    <mergeCell ref="F43:G43"/>
    <mergeCell ref="B46:C46"/>
    <mergeCell ref="A1:K1"/>
    <mergeCell ref="A2:K2"/>
    <mergeCell ref="A3:K3"/>
    <mergeCell ref="A5:K5"/>
    <mergeCell ref="A9:K9"/>
    <mergeCell ref="A11:K11"/>
    <mergeCell ref="A10:K10"/>
    <mergeCell ref="F40:G40"/>
    <mergeCell ref="F50:G50"/>
    <mergeCell ref="B47:C47"/>
    <mergeCell ref="F44:G44"/>
    <mergeCell ref="B49:C49"/>
    <mergeCell ref="F41:G41"/>
    <mergeCell ref="B42:C42"/>
    <mergeCell ref="F42:G42"/>
    <mergeCell ref="B41:C41"/>
    <mergeCell ref="F45:G45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7030A0"/>
  </sheetPr>
  <dimension ref="A1:P55"/>
  <sheetViews>
    <sheetView zoomScalePageLayoutView="0" workbookViewId="0" topLeftCell="A6">
      <selection activeCell="G35" sqref="G35"/>
    </sheetView>
  </sheetViews>
  <sheetFormatPr defaultColWidth="9.140625" defaultRowHeight="15" outlineLevelCol="1"/>
  <cols>
    <col min="1" max="1" width="5.8515625" style="61" customWidth="1"/>
    <col min="2" max="2" width="47.00390625" style="61" customWidth="1"/>
    <col min="3" max="4" width="14.8515625" style="61" customWidth="1"/>
    <col min="5" max="5" width="12.57421875" style="61" customWidth="1"/>
    <col min="6" max="6" width="12.42187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140625" style="6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191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192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45126.09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'[1]Дубрава 5'!$G$35</f>
        <v>21037.702100000002</v>
      </c>
      <c r="H14" s="66"/>
      <c r="I14" s="66"/>
    </row>
    <row r="15" s="63" customFormat="1" ht="6.75" customHeight="1"/>
    <row r="16" spans="1:7" s="78" customFormat="1" ht="52.5" customHeight="1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6" s="63" customFormat="1" ht="28.5">
      <c r="A17" s="79" t="s">
        <v>14</v>
      </c>
      <c r="B17" s="41" t="s">
        <v>15</v>
      </c>
      <c r="C17" s="141">
        <f>C18+C19+C20+C21</f>
        <v>9.53</v>
      </c>
      <c r="D17" s="80">
        <v>71189.16</v>
      </c>
      <c r="E17" s="80">
        <v>65634.36</v>
      </c>
      <c r="F17" s="80">
        <f>D17</f>
        <v>71189.16</v>
      </c>
      <c r="G17" s="81">
        <f>E17-D17</f>
        <v>-5554.800000000003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24949.821028331586</v>
      </c>
      <c r="E18" s="87">
        <f>E17*I18</f>
        <v>23003.01809024134</v>
      </c>
      <c r="F18" s="87">
        <f>D18</f>
        <v>24949.821028331586</v>
      </c>
      <c r="G18" s="88">
        <f aca="true" t="shared" si="0" ref="G18:G26">E18-D18</f>
        <v>-1946.8029380902444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12176.110262329486</v>
      </c>
      <c r="E19" s="87">
        <f>E17*I19</f>
        <v>11226.023798530956</v>
      </c>
      <c r="F19" s="87">
        <f>D19</f>
        <v>12176.110262329486</v>
      </c>
      <c r="G19" s="88">
        <f t="shared" si="0"/>
        <v>-950.0864637985305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12176.110262329486</v>
      </c>
      <c r="E20" s="87">
        <f>E17*I20</f>
        <v>11226.023798530956</v>
      </c>
      <c r="F20" s="87">
        <f>D20</f>
        <v>12176.110262329486</v>
      </c>
      <c r="G20" s="88">
        <f t="shared" si="0"/>
        <v>-950.0864637985305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21887.11844700945</v>
      </c>
      <c r="E21" s="87">
        <f>E17*I21</f>
        <v>20179.29431269675</v>
      </c>
      <c r="F21" s="87">
        <f>D21</f>
        <v>21887.11844700945</v>
      </c>
      <c r="G21" s="88">
        <f t="shared" si="0"/>
        <v>-1707.8241343126974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41" t="s">
        <v>507</v>
      </c>
      <c r="C22" s="101">
        <v>53.55</v>
      </c>
      <c r="D22" s="91">
        <v>0</v>
      </c>
      <c r="E22" s="91">
        <v>12936.87</v>
      </c>
      <c r="F22" s="91">
        <v>0</v>
      </c>
      <c r="G22" s="91">
        <f t="shared" si="0"/>
        <v>12936.87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1">
        <v>1.8</v>
      </c>
      <c r="D25" s="91">
        <v>13446</v>
      </c>
      <c r="E25" s="91">
        <v>12396.21</v>
      </c>
      <c r="F25" s="91">
        <f>F40</f>
        <v>73206.5721</v>
      </c>
      <c r="G25" s="91">
        <f>E25-D25</f>
        <v>-1049.7900000000009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>
        <v>0</v>
      </c>
      <c r="D26" s="81">
        <v>0</v>
      </c>
      <c r="E26" s="81">
        <v>0</v>
      </c>
      <c r="F26" s="91"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166945.22999999998</v>
      </c>
      <c r="E27" s="81">
        <f>SUM(E28:E31)</f>
        <v>202176.28999999998</v>
      </c>
      <c r="F27" s="81">
        <f>SUM(F28:F31)</f>
        <v>166945.22999999998</v>
      </c>
      <c r="G27" s="81">
        <f>SUM(G28:G31)</f>
        <v>35231.060000000005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1805.4</v>
      </c>
      <c r="E28" s="88">
        <v>1661.59</v>
      </c>
      <c r="F28" s="88">
        <f>D28</f>
        <v>1805.4</v>
      </c>
      <c r="G28" s="88">
        <f>E28-D28</f>
        <v>-143.81000000000017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116567.4</v>
      </c>
      <c r="E29" s="88">
        <v>110844.22</v>
      </c>
      <c r="F29" s="88">
        <f>D29</f>
        <v>116567.4</v>
      </c>
      <c r="G29" s="88">
        <f>E29-D29</f>
        <v>-5723.179999999993</v>
      </c>
    </row>
    <row r="30" spans="1:7" ht="15">
      <c r="A30" s="34" t="s">
        <v>42</v>
      </c>
      <c r="B30" s="34" t="s">
        <v>143</v>
      </c>
      <c r="C30" s="149">
        <v>0</v>
      </c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301</v>
      </c>
      <c r="D31" s="88">
        <v>48572.43</v>
      </c>
      <c r="E31" s="88">
        <v>89670.48</v>
      </c>
      <c r="F31" s="88">
        <f>D31</f>
        <v>48572.43</v>
      </c>
      <c r="G31" s="88">
        <f>E31-D31</f>
        <v>41098.049999999996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3562.750000000029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G14+E25-F25+E22-F22</f>
        <v>-26835.79</v>
      </c>
      <c r="H35" s="66"/>
      <c r="I35" s="66"/>
    </row>
    <row r="36" spans="1:11" s="71" customFormat="1" ht="1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</row>
    <row r="37" spans="1:13" s="106" customFormat="1" ht="25.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105"/>
      <c r="M37" s="105"/>
    </row>
    <row r="38" ht="23.25" customHeight="1"/>
    <row r="39" spans="1:11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4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SUM(F41:G50)</f>
        <v>73206.5721</v>
      </c>
      <c r="G40" s="351"/>
      <c r="H40" s="270"/>
      <c r="I40" s="271"/>
      <c r="J40" s="119"/>
      <c r="K40" s="119"/>
      <c r="N40" s="112"/>
    </row>
    <row r="41" spans="1:14" s="78" customFormat="1" ht="15">
      <c r="A41" s="34" t="s">
        <v>16</v>
      </c>
      <c r="B41" s="364" t="s">
        <v>553</v>
      </c>
      <c r="C41" s="365"/>
      <c r="D41" s="206" t="s">
        <v>173</v>
      </c>
      <c r="E41" s="206">
        <v>3</v>
      </c>
      <c r="F41" s="355">
        <v>7332</v>
      </c>
      <c r="G41" s="355"/>
      <c r="H41" s="117"/>
      <c r="I41" s="118"/>
      <c r="J41" s="119"/>
      <c r="K41" s="119"/>
      <c r="N41" s="112"/>
    </row>
    <row r="42" spans="1:14" s="78" customFormat="1" ht="15">
      <c r="A42" s="34" t="s">
        <v>18</v>
      </c>
      <c r="B42" s="364" t="s">
        <v>610</v>
      </c>
      <c r="C42" s="365"/>
      <c r="D42" s="206" t="s">
        <v>611</v>
      </c>
      <c r="E42" s="206" t="s">
        <v>611</v>
      </c>
      <c r="F42" s="355">
        <v>7000</v>
      </c>
      <c r="G42" s="355"/>
      <c r="H42" s="117"/>
      <c r="I42" s="118"/>
      <c r="J42" s="119"/>
      <c r="K42" s="119"/>
      <c r="N42" s="112"/>
    </row>
    <row r="43" spans="1:14" s="78" customFormat="1" ht="15">
      <c r="A43" s="34" t="s">
        <v>20</v>
      </c>
      <c r="B43" s="364" t="s">
        <v>373</v>
      </c>
      <c r="C43" s="365"/>
      <c r="D43" s="206" t="s">
        <v>176</v>
      </c>
      <c r="E43" s="206">
        <v>5</v>
      </c>
      <c r="F43" s="355">
        <v>22012.72</v>
      </c>
      <c r="G43" s="355"/>
      <c r="H43" s="117"/>
      <c r="I43" s="118"/>
      <c r="J43" s="119"/>
      <c r="K43" s="119"/>
      <c r="N43" s="112"/>
    </row>
    <row r="44" spans="1:14" s="78" customFormat="1" ht="15">
      <c r="A44" s="34" t="s">
        <v>22</v>
      </c>
      <c r="B44" s="364" t="s">
        <v>181</v>
      </c>
      <c r="C44" s="365"/>
      <c r="D44" s="206" t="s">
        <v>177</v>
      </c>
      <c r="E44" s="206">
        <v>0.0094</v>
      </c>
      <c r="F44" s="355">
        <v>9082.32</v>
      </c>
      <c r="G44" s="355"/>
      <c r="H44" s="117"/>
      <c r="I44" s="118"/>
      <c r="J44" s="119"/>
      <c r="K44" s="119"/>
      <c r="N44" s="112"/>
    </row>
    <row r="45" spans="1:14" s="78" customFormat="1" ht="15">
      <c r="A45" s="34" t="s">
        <v>24</v>
      </c>
      <c r="B45" s="325" t="s">
        <v>663</v>
      </c>
      <c r="C45" s="350"/>
      <c r="D45" s="206"/>
      <c r="E45" s="159" t="s">
        <v>286</v>
      </c>
      <c r="F45" s="355">
        <v>2240</v>
      </c>
      <c r="G45" s="355"/>
      <c r="H45" s="117"/>
      <c r="I45" s="118"/>
      <c r="J45" s="119"/>
      <c r="K45" s="119"/>
      <c r="N45" s="112"/>
    </row>
    <row r="46" spans="1:14" s="78" customFormat="1" ht="15">
      <c r="A46" s="34" t="s">
        <v>106</v>
      </c>
      <c r="B46" s="325" t="s">
        <v>662</v>
      </c>
      <c r="C46" s="350"/>
      <c r="D46" s="206" t="s">
        <v>265</v>
      </c>
      <c r="E46" s="159">
        <v>0.01</v>
      </c>
      <c r="F46" s="355">
        <v>1127.51</v>
      </c>
      <c r="G46" s="355"/>
      <c r="H46" s="117"/>
      <c r="I46" s="118"/>
      <c r="J46" s="119"/>
      <c r="K46" s="119"/>
      <c r="N46" s="112"/>
    </row>
    <row r="47" spans="1:14" s="78" customFormat="1" ht="15">
      <c r="A47" s="34" t="s">
        <v>107</v>
      </c>
      <c r="B47" s="325" t="s">
        <v>662</v>
      </c>
      <c r="C47" s="350"/>
      <c r="D47" s="206" t="s">
        <v>265</v>
      </c>
      <c r="E47" s="159">
        <v>0.13</v>
      </c>
      <c r="F47" s="355">
        <v>7488.06</v>
      </c>
      <c r="G47" s="355"/>
      <c r="H47" s="117"/>
      <c r="I47" s="118"/>
      <c r="J47" s="119"/>
      <c r="K47" s="119"/>
      <c r="N47" s="112"/>
    </row>
    <row r="48" spans="1:14" s="78" customFormat="1" ht="15">
      <c r="A48" s="34" t="s">
        <v>120</v>
      </c>
      <c r="B48" s="325" t="s">
        <v>761</v>
      </c>
      <c r="C48" s="350"/>
      <c r="D48" s="206"/>
      <c r="E48" s="159"/>
      <c r="F48" s="355">
        <v>9600</v>
      </c>
      <c r="G48" s="355"/>
      <c r="H48" s="117"/>
      <c r="I48" s="118"/>
      <c r="J48" s="119"/>
      <c r="K48" s="119"/>
      <c r="N48" s="112"/>
    </row>
    <row r="49" spans="1:14" s="78" customFormat="1" ht="15">
      <c r="A49" s="34" t="s">
        <v>121</v>
      </c>
      <c r="B49" s="325" t="s">
        <v>610</v>
      </c>
      <c r="C49" s="350"/>
      <c r="D49" s="206"/>
      <c r="E49" s="159"/>
      <c r="F49" s="355">
        <v>7200</v>
      </c>
      <c r="G49" s="355"/>
      <c r="H49" s="117"/>
      <c r="I49" s="118"/>
      <c r="J49" s="119"/>
      <c r="K49" s="119"/>
      <c r="N49" s="112"/>
    </row>
    <row r="50" spans="1:7" s="63" customFormat="1" ht="15">
      <c r="A50" s="34" t="s">
        <v>122</v>
      </c>
      <c r="B50" s="364" t="s">
        <v>207</v>
      </c>
      <c r="C50" s="365"/>
      <c r="D50" s="129"/>
      <c r="E50" s="129"/>
      <c r="F50" s="355">
        <f>E25*1%</f>
        <v>123.96209999999999</v>
      </c>
      <c r="G50" s="355"/>
    </row>
    <row r="51" s="63" customFormat="1" ht="12.75"/>
    <row r="52" spans="1:6" s="71" customFormat="1" ht="15">
      <c r="A52" s="71" t="s">
        <v>55</v>
      </c>
      <c r="C52" s="131" t="s">
        <v>49</v>
      </c>
      <c r="F52" s="71" t="s">
        <v>93</v>
      </c>
    </row>
    <row r="53" spans="1:7" s="63" customFormat="1" ht="15">
      <c r="A53" s="71"/>
      <c r="B53" s="71"/>
      <c r="C53" s="131"/>
      <c r="D53" s="71"/>
      <c r="E53" s="71"/>
      <c r="F53" s="132" t="s">
        <v>296</v>
      </c>
      <c r="G53" s="71"/>
    </row>
    <row r="54" spans="1:10" s="63" customFormat="1" ht="15">
      <c r="A54" s="71" t="s">
        <v>50</v>
      </c>
      <c r="B54" s="71"/>
      <c r="C54" s="131"/>
      <c r="D54" s="71"/>
      <c r="E54" s="71"/>
      <c r="F54" s="71"/>
      <c r="G54" s="71"/>
      <c r="H54" s="164"/>
      <c r="I54" s="164"/>
      <c r="J54" s="164"/>
    </row>
    <row r="55" spans="1:7" s="63" customFormat="1" ht="15">
      <c r="A55" s="71"/>
      <c r="B55" s="71"/>
      <c r="C55" s="133" t="s">
        <v>51</v>
      </c>
      <c r="D55" s="71"/>
      <c r="E55" s="134"/>
      <c r="F55" s="134"/>
      <c r="G55" s="134"/>
    </row>
    <row r="56" s="63" customFormat="1" ht="12.75"/>
  </sheetData>
  <sheetProtection/>
  <mergeCells count="34">
    <mergeCell ref="B50:C50"/>
    <mergeCell ref="F50:G50"/>
    <mergeCell ref="B44:C44"/>
    <mergeCell ref="F44:G44"/>
    <mergeCell ref="B41:C41"/>
    <mergeCell ref="B42:C42"/>
    <mergeCell ref="B45:C45"/>
    <mergeCell ref="F45:G45"/>
    <mergeCell ref="B43:C43"/>
    <mergeCell ref="F41:G41"/>
    <mergeCell ref="F42:G42"/>
    <mergeCell ref="F43:G43"/>
    <mergeCell ref="B40:C40"/>
    <mergeCell ref="F40:G40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  <mergeCell ref="B49:C49"/>
    <mergeCell ref="F49:G49"/>
    <mergeCell ref="B46:C46"/>
    <mergeCell ref="F46:G46"/>
    <mergeCell ref="B47:C47"/>
    <mergeCell ref="F47:G47"/>
    <mergeCell ref="B48:C48"/>
    <mergeCell ref="F48:G4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5.8515625" style="61" customWidth="1"/>
    <col min="2" max="2" width="47.00390625" style="61" customWidth="1"/>
    <col min="3" max="4" width="14.8515625" style="61" customWidth="1"/>
    <col min="5" max="5" width="12.57421875" style="61" customWidth="1"/>
    <col min="6" max="6" width="12.42187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140625" style="6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193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612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116787.45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'[1]Дубрава 6'!$G$35</f>
        <v>-116368.65829999998</v>
      </c>
      <c r="H14" s="66"/>
      <c r="I14" s="66"/>
    </row>
    <row r="15" s="63" customFormat="1" ht="6.75" customHeight="1"/>
    <row r="16" spans="1:7" s="78" customFormat="1" ht="52.5" customHeight="1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6" s="63" customFormat="1" ht="28.5">
      <c r="A17" s="79" t="s">
        <v>14</v>
      </c>
      <c r="B17" s="41" t="s">
        <v>15</v>
      </c>
      <c r="C17" s="141">
        <f>C18+C19+C20+C21</f>
        <v>9.53</v>
      </c>
      <c r="D17" s="80">
        <v>158968.26</v>
      </c>
      <c r="E17" s="80">
        <v>147970.03</v>
      </c>
      <c r="F17" s="80">
        <f>D17</f>
        <v>158968.26</v>
      </c>
      <c r="G17" s="81">
        <f>E17-D17</f>
        <v>-10998.23000000001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55713.95471143757</v>
      </c>
      <c r="E18" s="87">
        <f>E17*I18</f>
        <v>51859.38092339979</v>
      </c>
      <c r="F18" s="87">
        <f>D18</f>
        <v>55713.95471143757</v>
      </c>
      <c r="G18" s="88">
        <f aca="true" t="shared" si="0" ref="G18:G26">E18-D18</f>
        <v>-3854.5737880377783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27189.74436516265</v>
      </c>
      <c r="E19" s="87">
        <f>E17*I19</f>
        <v>25308.62003147954</v>
      </c>
      <c r="F19" s="87">
        <f>D19</f>
        <v>27189.74436516265</v>
      </c>
      <c r="G19" s="88">
        <f t="shared" si="0"/>
        <v>-1881.1243336831103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27189.74436516265</v>
      </c>
      <c r="E20" s="87">
        <f>E17*I20</f>
        <v>25308.62003147954</v>
      </c>
      <c r="F20" s="87">
        <f>D20</f>
        <v>27189.74436516265</v>
      </c>
      <c r="G20" s="88">
        <f t="shared" si="0"/>
        <v>-1881.1243336831103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48874.81655823716</v>
      </c>
      <c r="E21" s="87">
        <f>E17*I21</f>
        <v>45493.40901364114</v>
      </c>
      <c r="F21" s="87">
        <f>D21</f>
        <v>48874.81655823716</v>
      </c>
      <c r="G21" s="88">
        <f t="shared" si="0"/>
        <v>-3381.407544596019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1">
        <v>1.8</v>
      </c>
      <c r="D25" s="91">
        <v>63843.66</v>
      </c>
      <c r="E25" s="91">
        <v>60452.78</v>
      </c>
      <c r="F25" s="91">
        <f>F40</f>
        <v>20760.8078</v>
      </c>
      <c r="G25" s="91">
        <f>E25-D25</f>
        <v>-3390.8800000000047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>
        <v>1902.11</v>
      </c>
      <c r="D26" s="81">
        <v>0</v>
      </c>
      <c r="E26" s="81">
        <v>0</v>
      </c>
      <c r="F26" s="91"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583926.1900000001</v>
      </c>
      <c r="E27" s="81">
        <f>SUM(E28:E31)</f>
        <v>586192.01</v>
      </c>
      <c r="F27" s="81">
        <f>SUM(F28:F31)</f>
        <v>583926.1900000001</v>
      </c>
      <c r="G27" s="81">
        <f>SUM(G28:G31)</f>
        <v>2265.819999999984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2875.1</v>
      </c>
      <c r="E28" s="88">
        <v>2895.25</v>
      </c>
      <c r="F28" s="88">
        <f>D28</f>
        <v>2875.1</v>
      </c>
      <c r="G28" s="88">
        <f>E28-D28</f>
        <v>20.15000000000009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158450.76</v>
      </c>
      <c r="E29" s="88">
        <v>156167.24</v>
      </c>
      <c r="F29" s="88">
        <f>D29</f>
        <v>158450.76</v>
      </c>
      <c r="G29" s="88">
        <f>E29-D29</f>
        <v>-2283.5200000000186</v>
      </c>
    </row>
    <row r="30" spans="1:7" ht="15">
      <c r="A30" s="34" t="s">
        <v>42</v>
      </c>
      <c r="B30" s="34" t="s">
        <v>143</v>
      </c>
      <c r="C30" s="149">
        <v>0</v>
      </c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301</v>
      </c>
      <c r="D31" s="88">
        <v>422600.33</v>
      </c>
      <c r="E31" s="88">
        <v>427129.52</v>
      </c>
      <c r="F31" s="88">
        <f>D31</f>
        <v>422600.33</v>
      </c>
      <c r="G31" s="88">
        <f>E31-D31</f>
        <v>4529.190000000002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D12+D17+D23+D24+D25+D26+D27-E17-E23-E24-E25-E26-E27</f>
        <v>128910.73999999999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-76676.68609999998</v>
      </c>
      <c r="H35" s="66"/>
      <c r="I35" s="66"/>
    </row>
    <row r="36" spans="1:11" s="71" customFormat="1" ht="1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</row>
    <row r="37" spans="1:13" s="106" customFormat="1" ht="25.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105"/>
      <c r="M37" s="105"/>
    </row>
    <row r="38" ht="23.25" customHeight="1"/>
    <row r="39" spans="1:11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4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SUM(F41:G46)</f>
        <v>20760.8078</v>
      </c>
      <c r="G40" s="351"/>
      <c r="H40" s="270"/>
      <c r="I40" s="271"/>
      <c r="J40" s="119"/>
      <c r="K40" s="119"/>
      <c r="N40" s="112"/>
    </row>
    <row r="41" spans="1:14" s="119" customFormat="1" ht="15">
      <c r="A41" s="34" t="s">
        <v>16</v>
      </c>
      <c r="B41" s="325" t="s">
        <v>465</v>
      </c>
      <c r="C41" s="327"/>
      <c r="D41" s="123" t="s">
        <v>265</v>
      </c>
      <c r="E41" s="123">
        <v>0.03</v>
      </c>
      <c r="F41" s="366">
        <v>3049.27</v>
      </c>
      <c r="G41" s="367"/>
      <c r="H41" s="272"/>
      <c r="I41" s="273"/>
      <c r="J41" s="61"/>
      <c r="K41" s="61"/>
      <c r="N41" s="120"/>
    </row>
    <row r="42" spans="1:14" s="119" customFormat="1" ht="15">
      <c r="A42" s="34" t="s">
        <v>18</v>
      </c>
      <c r="B42" s="325" t="s">
        <v>613</v>
      </c>
      <c r="C42" s="327"/>
      <c r="D42" s="123" t="s">
        <v>265</v>
      </c>
      <c r="E42" s="123">
        <v>0.03</v>
      </c>
      <c r="F42" s="366">
        <v>2883.66</v>
      </c>
      <c r="G42" s="367"/>
      <c r="H42" s="40"/>
      <c r="I42" s="40"/>
      <c r="J42" s="61"/>
      <c r="K42" s="61"/>
      <c r="N42" s="120"/>
    </row>
    <row r="43" spans="1:14" s="119" customFormat="1" ht="15">
      <c r="A43" s="34" t="s">
        <v>20</v>
      </c>
      <c r="B43" s="325" t="s">
        <v>614</v>
      </c>
      <c r="C43" s="327"/>
      <c r="D43" s="123" t="s">
        <v>265</v>
      </c>
      <c r="E43" s="123">
        <v>0.04</v>
      </c>
      <c r="F43" s="366">
        <v>3170.14</v>
      </c>
      <c r="G43" s="367"/>
      <c r="H43" s="40"/>
      <c r="I43" s="40"/>
      <c r="J43" s="61"/>
      <c r="K43" s="61"/>
      <c r="N43" s="120"/>
    </row>
    <row r="44" spans="1:14" s="119" customFormat="1" ht="15">
      <c r="A44" s="34" t="s">
        <v>22</v>
      </c>
      <c r="B44" s="325" t="s">
        <v>663</v>
      </c>
      <c r="C44" s="350"/>
      <c r="D44" s="123"/>
      <c r="E44" s="159" t="s">
        <v>286</v>
      </c>
      <c r="F44" s="355">
        <v>4440</v>
      </c>
      <c r="G44" s="355"/>
      <c r="H44" s="40"/>
      <c r="I44" s="40"/>
      <c r="J44" s="61"/>
      <c r="K44" s="61"/>
      <c r="N44" s="120"/>
    </row>
    <row r="45" spans="1:14" s="119" customFormat="1" ht="15">
      <c r="A45" s="34" t="s">
        <v>24</v>
      </c>
      <c r="B45" s="325" t="s">
        <v>681</v>
      </c>
      <c r="C45" s="350"/>
      <c r="D45" s="123" t="s">
        <v>265</v>
      </c>
      <c r="E45" s="159">
        <v>0.04</v>
      </c>
      <c r="F45" s="355">
        <v>6613.21</v>
      </c>
      <c r="G45" s="355"/>
      <c r="H45" s="40"/>
      <c r="I45" s="40"/>
      <c r="J45" s="61"/>
      <c r="K45" s="61"/>
      <c r="N45" s="120"/>
    </row>
    <row r="46" spans="1:7" s="63" customFormat="1" ht="15">
      <c r="A46" s="34" t="s">
        <v>106</v>
      </c>
      <c r="B46" s="364" t="s">
        <v>207</v>
      </c>
      <c r="C46" s="365"/>
      <c r="D46" s="129"/>
      <c r="E46" s="129"/>
      <c r="F46" s="355">
        <f>E25*1%</f>
        <v>604.5278</v>
      </c>
      <c r="G46" s="355"/>
    </row>
    <row r="47" s="63" customFormat="1" ht="12.75"/>
    <row r="48" spans="1:6" s="71" customFormat="1" ht="15">
      <c r="A48" s="71" t="s">
        <v>55</v>
      </c>
      <c r="C48" s="131" t="s">
        <v>49</v>
      </c>
      <c r="F48" s="71" t="s">
        <v>93</v>
      </c>
    </row>
    <row r="49" spans="1:7" s="63" customFormat="1" ht="15">
      <c r="A49" s="71"/>
      <c r="B49" s="71"/>
      <c r="C49" s="131"/>
      <c r="D49" s="71"/>
      <c r="E49" s="71"/>
      <c r="F49" s="132" t="s">
        <v>296</v>
      </c>
      <c r="G49" s="71"/>
    </row>
    <row r="50" spans="1:10" s="63" customFormat="1" ht="15">
      <c r="A50" s="71" t="s">
        <v>50</v>
      </c>
      <c r="B50" s="71"/>
      <c r="C50" s="131"/>
      <c r="D50" s="71"/>
      <c r="E50" s="71"/>
      <c r="F50" s="71"/>
      <c r="G50" s="71"/>
      <c r="H50" s="164"/>
      <c r="I50" s="164"/>
      <c r="J50" s="164"/>
    </row>
    <row r="51" spans="1:7" s="63" customFormat="1" ht="15">
      <c r="A51" s="71"/>
      <c r="B51" s="71"/>
      <c r="C51" s="133" t="s">
        <v>51</v>
      </c>
      <c r="D51" s="71"/>
      <c r="E51" s="134"/>
      <c r="F51" s="134"/>
      <c r="G51" s="134"/>
    </row>
    <row r="52" s="63" customFormat="1" ht="12.75"/>
  </sheetData>
  <sheetProtection/>
  <mergeCells count="26">
    <mergeCell ref="A11:K11"/>
    <mergeCell ref="A12:C12"/>
    <mergeCell ref="B41:C41"/>
    <mergeCell ref="F41:G41"/>
    <mergeCell ref="A33:C33"/>
    <mergeCell ref="A37:K37"/>
    <mergeCell ref="B39:C39"/>
    <mergeCell ref="F39:G39"/>
    <mergeCell ref="B40:C40"/>
    <mergeCell ref="F40:G40"/>
    <mergeCell ref="A1:K1"/>
    <mergeCell ref="A2:K2"/>
    <mergeCell ref="A3:K3"/>
    <mergeCell ref="A5:K5"/>
    <mergeCell ref="A9:K9"/>
    <mergeCell ref="A10:K10"/>
    <mergeCell ref="B46:C46"/>
    <mergeCell ref="F46:G46"/>
    <mergeCell ref="B42:C42"/>
    <mergeCell ref="F42:G42"/>
    <mergeCell ref="B43:C43"/>
    <mergeCell ref="F43:G43"/>
    <mergeCell ref="B44:C44"/>
    <mergeCell ref="F44:G44"/>
    <mergeCell ref="B45:C45"/>
    <mergeCell ref="F45:G45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7030A0"/>
  </sheetPr>
  <dimension ref="A1:P47"/>
  <sheetViews>
    <sheetView zoomScalePageLayoutView="0" workbookViewId="0" topLeftCell="A1">
      <selection activeCell="D12" sqref="D12"/>
    </sheetView>
  </sheetViews>
  <sheetFormatPr defaultColWidth="9.140625" defaultRowHeight="15" outlineLevelCol="1"/>
  <cols>
    <col min="1" max="1" width="5.8515625" style="61" customWidth="1"/>
    <col min="2" max="2" width="47.00390625" style="61" customWidth="1"/>
    <col min="3" max="4" width="14.8515625" style="61" customWidth="1"/>
    <col min="5" max="5" width="12.57421875" style="61" customWidth="1"/>
    <col min="6" max="6" width="12.42187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140625" style="6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244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615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616</v>
      </c>
      <c r="B12" s="320"/>
      <c r="C12" s="320"/>
      <c r="D12" s="51">
        <v>30152.69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617</v>
      </c>
      <c r="B14" s="68"/>
      <c r="C14" s="68"/>
      <c r="D14" s="73"/>
      <c r="E14" s="74"/>
      <c r="F14" s="74"/>
      <c r="G14" s="69">
        <f>'[1]Дубрава 7'!$G$35</f>
        <v>-56225.7593</v>
      </c>
      <c r="H14" s="66"/>
      <c r="I14" s="66"/>
    </row>
    <row r="15" s="63" customFormat="1" ht="6.75" customHeight="1"/>
    <row r="16" spans="1:7" s="78" customFormat="1" ht="52.5" customHeight="1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6" s="63" customFormat="1" ht="28.5">
      <c r="A17" s="79" t="s">
        <v>14</v>
      </c>
      <c r="B17" s="41" t="s">
        <v>15</v>
      </c>
      <c r="C17" s="141">
        <f>C18+C19+C20+C21</f>
        <v>9.53</v>
      </c>
      <c r="D17" s="80">
        <v>228538.79</v>
      </c>
      <c r="E17" s="80">
        <v>202150.56</v>
      </c>
      <c r="F17" s="80">
        <f>D17</f>
        <v>228538.79</v>
      </c>
      <c r="G17" s="81">
        <f>E17-D17</f>
        <v>-26388.23000000001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80096.49093389297</v>
      </c>
      <c r="E18" s="87">
        <f>E17*I18</f>
        <v>70848.1500944386</v>
      </c>
      <c r="F18" s="87">
        <f>D18</f>
        <v>80096.49093389297</v>
      </c>
      <c r="G18" s="88">
        <f aca="true" t="shared" si="0" ref="G18:G26">E18-D18</f>
        <v>-9248.340839454366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39089.00605456454</v>
      </c>
      <c r="E19" s="87">
        <f>E17*I19</f>
        <v>34575.59420776495</v>
      </c>
      <c r="F19" s="87">
        <f>D19</f>
        <v>39089.00605456454</v>
      </c>
      <c r="G19" s="88">
        <f t="shared" si="0"/>
        <v>-4513.411846799587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39089.00605456454</v>
      </c>
      <c r="E20" s="87">
        <f>E17*I20</f>
        <v>34575.59420776495</v>
      </c>
      <c r="F20" s="87">
        <f>D20</f>
        <v>39089.00605456454</v>
      </c>
      <c r="G20" s="88">
        <f t="shared" si="0"/>
        <v>-4513.411846799587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70264.28695697797</v>
      </c>
      <c r="E21" s="87">
        <f>E17*I21</f>
        <v>62151.22149003149</v>
      </c>
      <c r="F21" s="87">
        <f>D21</f>
        <v>70264.28695697797</v>
      </c>
      <c r="G21" s="88">
        <f t="shared" si="0"/>
        <v>-8113.065466946486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1">
        <v>3</v>
      </c>
      <c r="D25" s="91">
        <v>52657.44</v>
      </c>
      <c r="E25" s="91">
        <v>45672.58</v>
      </c>
      <c r="F25" s="91">
        <f>F40</f>
        <v>6056.7258</v>
      </c>
      <c r="G25" s="91">
        <f>E25-D25</f>
        <v>-6984.860000000001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>
        <v>39.62</v>
      </c>
      <c r="D26" s="81">
        <v>0</v>
      </c>
      <c r="E26" s="81">
        <v>0</v>
      </c>
      <c r="F26" s="91">
        <f>D26</f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288491.4</v>
      </c>
      <c r="E27" s="81">
        <f>SUM(E28:E31)</f>
        <v>273029.02</v>
      </c>
      <c r="F27" s="81">
        <f>SUM(F28:F31)</f>
        <v>288491.4</v>
      </c>
      <c r="G27" s="81">
        <f>SUM(G28:G31)</f>
        <v>-15462.38000000002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7305.75</v>
      </c>
      <c r="E28" s="88">
        <v>24196.11</v>
      </c>
      <c r="F28" s="88">
        <f>D28</f>
        <v>7305.75</v>
      </c>
      <c r="G28" s="88">
        <f>E28-D28</f>
        <v>16890.36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281185.65</v>
      </c>
      <c r="E29" s="88">
        <v>248832.91</v>
      </c>
      <c r="F29" s="88">
        <f>D29</f>
        <v>281185.65</v>
      </c>
      <c r="G29" s="88">
        <f>E29-D29</f>
        <v>-32352.74000000002</v>
      </c>
    </row>
    <row r="30" spans="1:7" ht="15">
      <c r="A30" s="34" t="s">
        <v>42</v>
      </c>
      <c r="B30" s="34" t="s">
        <v>143</v>
      </c>
      <c r="C30" s="149">
        <v>0</v>
      </c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/>
      <c r="D31" s="88">
        <v>0</v>
      </c>
      <c r="E31" s="88">
        <v>0</v>
      </c>
      <c r="F31" s="88">
        <f>D31</f>
        <v>0</v>
      </c>
      <c r="G31" s="88">
        <f>E31-D31</f>
        <v>0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D12+D17+D23+D24+D25+D26+D27-E17-E23-E24-E25-E26-E27</f>
        <v>78988.16000000003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-16609.905099999996</v>
      </c>
      <c r="H35" s="66"/>
      <c r="I35" s="66"/>
    </row>
    <row r="36" spans="1:11" s="71" customFormat="1" ht="1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</row>
    <row r="37" spans="1:13" s="106" customFormat="1" ht="25.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105"/>
      <c r="M37" s="105"/>
    </row>
    <row r="38" ht="23.25" customHeight="1"/>
    <row r="39" spans="1:11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4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SUM(F41:G42)</f>
        <v>6056.7258</v>
      </c>
      <c r="G40" s="351"/>
      <c r="H40" s="270"/>
      <c r="I40" s="271"/>
      <c r="J40" s="119"/>
      <c r="K40" s="119"/>
      <c r="N40" s="112"/>
    </row>
    <row r="41" spans="1:14" s="119" customFormat="1" ht="15">
      <c r="A41" s="34" t="s">
        <v>16</v>
      </c>
      <c r="B41" s="325" t="s">
        <v>663</v>
      </c>
      <c r="C41" s="350"/>
      <c r="D41" s="123"/>
      <c r="E41" s="159" t="s">
        <v>286</v>
      </c>
      <c r="F41" s="355">
        <v>5600</v>
      </c>
      <c r="G41" s="355"/>
      <c r="H41" s="272"/>
      <c r="I41" s="273"/>
      <c r="J41" s="61"/>
      <c r="K41" s="61"/>
      <c r="N41" s="120"/>
    </row>
    <row r="42" spans="1:7" s="63" customFormat="1" ht="15">
      <c r="A42" s="34" t="s">
        <v>18</v>
      </c>
      <c r="B42" s="364" t="s">
        <v>207</v>
      </c>
      <c r="C42" s="365"/>
      <c r="D42" s="129"/>
      <c r="E42" s="129"/>
      <c r="F42" s="355">
        <f>E25*1%</f>
        <v>456.72580000000005</v>
      </c>
      <c r="G42" s="355"/>
    </row>
    <row r="43" s="63" customFormat="1" ht="12.75"/>
    <row r="44" spans="1:6" s="71" customFormat="1" ht="15">
      <c r="A44" s="71" t="s">
        <v>55</v>
      </c>
      <c r="C44" s="131" t="s">
        <v>49</v>
      </c>
      <c r="F44" s="71" t="s">
        <v>93</v>
      </c>
    </row>
    <row r="45" spans="1:7" s="63" customFormat="1" ht="15">
      <c r="A45" s="71"/>
      <c r="B45" s="71"/>
      <c r="C45" s="131"/>
      <c r="D45" s="71"/>
      <c r="E45" s="71"/>
      <c r="F45" s="132" t="s">
        <v>296</v>
      </c>
      <c r="G45" s="71"/>
    </row>
    <row r="46" spans="1:10" s="63" customFormat="1" ht="15">
      <c r="A46" s="71" t="s">
        <v>50</v>
      </c>
      <c r="B46" s="71"/>
      <c r="C46" s="131"/>
      <c r="D46" s="71"/>
      <c r="E46" s="71"/>
      <c r="F46" s="71"/>
      <c r="G46" s="71"/>
      <c r="H46" s="164"/>
      <c r="I46" s="164"/>
      <c r="J46" s="164"/>
    </row>
    <row r="47" spans="1:7" s="63" customFormat="1" ht="15">
      <c r="A47" s="71"/>
      <c r="B47" s="71"/>
      <c r="C47" s="133" t="s">
        <v>51</v>
      </c>
      <c r="D47" s="71"/>
      <c r="E47" s="134"/>
      <c r="F47" s="134"/>
      <c r="G47" s="134"/>
    </row>
    <row r="48" s="63" customFormat="1" ht="12.75"/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7:K37"/>
    <mergeCell ref="B39:C39"/>
    <mergeCell ref="F39:G39"/>
    <mergeCell ref="B42:C42"/>
    <mergeCell ref="F42:G42"/>
    <mergeCell ref="B40:C40"/>
    <mergeCell ref="F40:G40"/>
    <mergeCell ref="B41:C41"/>
    <mergeCell ref="F41:G41"/>
  </mergeCell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5.8515625" style="61" customWidth="1"/>
    <col min="2" max="2" width="48.28125" style="61" customWidth="1"/>
    <col min="3" max="4" width="14.8515625" style="61" customWidth="1"/>
    <col min="5" max="5" width="12.57421875" style="61" customWidth="1"/>
    <col min="6" max="6" width="12.42187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140625" style="6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2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274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194</v>
      </c>
      <c r="H7" s="64"/>
      <c r="L7" s="275"/>
      <c r="M7" s="275"/>
    </row>
    <row r="8" spans="1:11" s="63" customFormat="1" ht="12.75">
      <c r="A8" s="63" t="s">
        <v>3</v>
      </c>
      <c r="F8" s="64" t="s">
        <v>618</v>
      </c>
      <c r="H8" s="64"/>
      <c r="J8" s="65">
        <v>110.8</v>
      </c>
      <c r="K8" s="63">
        <f>1900+110.8</f>
        <v>2010.8</v>
      </c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216086.43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'[1]Дубрава 9'!$G$35</f>
        <v>64144.586899999995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6" s="63" customFormat="1" ht="14.25">
      <c r="A17" s="79" t="s">
        <v>14</v>
      </c>
      <c r="B17" s="41" t="s">
        <v>15</v>
      </c>
      <c r="C17" s="141">
        <f>C18+C19+C20+C21</f>
        <v>9.53</v>
      </c>
      <c r="D17" s="80">
        <v>217284.36</v>
      </c>
      <c r="E17" s="80">
        <v>200401.33</v>
      </c>
      <c r="F17" s="80">
        <f>D17</f>
        <v>217284.36</v>
      </c>
      <c r="G17" s="81">
        <f>E17-D17</f>
        <v>-16883.03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76152.1261699895</v>
      </c>
      <c r="E18" s="87">
        <f>E17*I18</f>
        <v>70235.0936201469</v>
      </c>
      <c r="F18" s="87">
        <f>D18</f>
        <v>76152.1261699895</v>
      </c>
      <c r="G18" s="88">
        <f aca="true" t="shared" si="0" ref="G18:G26">E18-D18</f>
        <v>-5917.0325498425955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37164.06157397691</v>
      </c>
      <c r="E19" s="87">
        <f>E17*I19</f>
        <v>34276.40796432319</v>
      </c>
      <c r="F19" s="87">
        <f>D19</f>
        <v>37164.06157397691</v>
      </c>
      <c r="G19" s="88">
        <f t="shared" si="0"/>
        <v>-2887.653609653724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37164.06157397691</v>
      </c>
      <c r="E20" s="87">
        <f>E17*I20</f>
        <v>34276.40796432319</v>
      </c>
      <c r="F20" s="87">
        <f>D20</f>
        <v>37164.06157397691</v>
      </c>
      <c r="G20" s="88">
        <f t="shared" si="0"/>
        <v>-2887.653609653724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66804.11068205666</v>
      </c>
      <c r="E21" s="87">
        <f>E17*I21</f>
        <v>61613.42045120672</v>
      </c>
      <c r="F21" s="87">
        <f>D21</f>
        <v>66804.11068205666</v>
      </c>
      <c r="G21" s="88">
        <f t="shared" si="0"/>
        <v>-5190.690230849941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1">
        <v>1.8</v>
      </c>
      <c r="D25" s="91">
        <v>41040</v>
      </c>
      <c r="E25" s="91">
        <v>37815.18</v>
      </c>
      <c r="F25" s="91">
        <f>F40</f>
        <v>7830.1518</v>
      </c>
      <c r="G25" s="91">
        <f>E25-D25</f>
        <v>-3224.8199999999997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>
        <v>0</v>
      </c>
      <c r="D26" s="81">
        <v>0</v>
      </c>
      <c r="E26" s="81">
        <v>0</v>
      </c>
      <c r="F26" s="91"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888616.98</v>
      </c>
      <c r="E27" s="81">
        <f>SUM(E28:E31)</f>
        <v>771875.21</v>
      </c>
      <c r="F27" s="81">
        <f>SUM(F28:F31)</f>
        <v>888616.98</v>
      </c>
      <c r="G27" s="81">
        <f>SUM(G28:G31)</f>
        <v>-116741.76999999999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4998.26</v>
      </c>
      <c r="E28" s="88">
        <v>4583.04</v>
      </c>
      <c r="F28" s="88">
        <f>D28</f>
        <v>4998.26</v>
      </c>
      <c r="G28" s="88">
        <f>E28-D28</f>
        <v>-415.22000000000025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237994.09</v>
      </c>
      <c r="E29" s="88">
        <v>180262.29</v>
      </c>
      <c r="F29" s="88">
        <f>D29</f>
        <v>237994.09</v>
      </c>
      <c r="G29" s="88">
        <f>E29-D29</f>
        <v>-57731.79999999999</v>
      </c>
    </row>
    <row r="30" spans="1:7" ht="15">
      <c r="A30" s="34" t="s">
        <v>42</v>
      </c>
      <c r="B30" s="34" t="s">
        <v>143</v>
      </c>
      <c r="C30" s="149">
        <v>0</v>
      </c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301</v>
      </c>
      <c r="D31" s="88">
        <v>645624.63</v>
      </c>
      <c r="E31" s="88">
        <v>587029.88</v>
      </c>
      <c r="F31" s="88">
        <f>D31</f>
        <v>645624.63</v>
      </c>
      <c r="G31" s="88">
        <f>E31-D31</f>
        <v>-58594.75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D12+D17+D23+D24+D25+D26+D27-E17-E23-E24-E25-E26-E27</f>
        <v>352936.05000000005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94129.6151</v>
      </c>
      <c r="H35" s="66"/>
      <c r="I35" s="66"/>
    </row>
    <row r="36" spans="1:11" s="71" customFormat="1" ht="1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</row>
    <row r="37" spans="1:13" s="106" customFormat="1" ht="25.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105"/>
      <c r="M37" s="105"/>
    </row>
    <row r="39" spans="1:11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4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SUM(F41:G45)</f>
        <v>7830.1518</v>
      </c>
      <c r="G40" s="351"/>
      <c r="H40" s="270"/>
      <c r="I40" s="271"/>
      <c r="J40" s="119"/>
      <c r="K40" s="119"/>
      <c r="N40" s="112"/>
    </row>
    <row r="41" spans="1:7" s="63" customFormat="1" ht="15">
      <c r="A41" s="34" t="s">
        <v>16</v>
      </c>
      <c r="B41" s="325" t="s">
        <v>619</v>
      </c>
      <c r="C41" s="327"/>
      <c r="D41" s="123"/>
      <c r="E41" s="123" t="s">
        <v>308</v>
      </c>
      <c r="F41" s="366">
        <v>140</v>
      </c>
      <c r="G41" s="367"/>
    </row>
    <row r="42" spans="1:7" s="63" customFormat="1" ht="15">
      <c r="A42" s="34" t="s">
        <v>18</v>
      </c>
      <c r="B42" s="325" t="s">
        <v>620</v>
      </c>
      <c r="C42" s="327"/>
      <c r="D42" s="123" t="s">
        <v>269</v>
      </c>
      <c r="E42" s="123">
        <v>0.04</v>
      </c>
      <c r="F42" s="366">
        <v>1720</v>
      </c>
      <c r="G42" s="367"/>
    </row>
    <row r="43" spans="1:7" s="63" customFormat="1" ht="15">
      <c r="A43" s="34" t="s">
        <v>20</v>
      </c>
      <c r="B43" s="325" t="s">
        <v>685</v>
      </c>
      <c r="C43" s="327"/>
      <c r="D43" s="123" t="s">
        <v>269</v>
      </c>
      <c r="E43" s="123">
        <v>0.01</v>
      </c>
      <c r="F43" s="366">
        <v>272</v>
      </c>
      <c r="G43" s="367"/>
    </row>
    <row r="44" spans="1:7" s="63" customFormat="1" ht="15">
      <c r="A44" s="34" t="s">
        <v>22</v>
      </c>
      <c r="B44" s="325" t="s">
        <v>663</v>
      </c>
      <c r="C44" s="350"/>
      <c r="D44" s="123"/>
      <c r="E44" s="159" t="s">
        <v>286</v>
      </c>
      <c r="F44" s="355">
        <v>5320</v>
      </c>
      <c r="G44" s="355"/>
    </row>
    <row r="45" spans="1:7" s="71" customFormat="1" ht="15">
      <c r="A45" s="34" t="s">
        <v>24</v>
      </c>
      <c r="B45" s="364" t="s">
        <v>207</v>
      </c>
      <c r="C45" s="365"/>
      <c r="D45" s="129"/>
      <c r="E45" s="129"/>
      <c r="F45" s="355">
        <f>E25*1%</f>
        <v>378.15180000000004</v>
      </c>
      <c r="G45" s="355"/>
    </row>
    <row r="46" s="63" customFormat="1" ht="12.75"/>
    <row r="47" spans="1:10" s="63" customFormat="1" ht="15">
      <c r="A47" s="71" t="s">
        <v>55</v>
      </c>
      <c r="B47" s="71"/>
      <c r="C47" s="131" t="s">
        <v>49</v>
      </c>
      <c r="D47" s="71"/>
      <c r="E47" s="71"/>
      <c r="F47" s="71" t="s">
        <v>93</v>
      </c>
      <c r="G47" s="71"/>
      <c r="H47" s="164"/>
      <c r="I47" s="164"/>
      <c r="J47" s="164"/>
    </row>
    <row r="48" spans="1:7" s="63" customFormat="1" ht="15">
      <c r="A48" s="71"/>
      <c r="B48" s="71"/>
      <c r="C48" s="131"/>
      <c r="D48" s="71"/>
      <c r="E48" s="71"/>
      <c r="F48" s="132" t="s">
        <v>296</v>
      </c>
      <c r="G48" s="71"/>
    </row>
    <row r="49" spans="1:7" s="63" customFormat="1" ht="15">
      <c r="A49" s="71" t="s">
        <v>50</v>
      </c>
      <c r="B49" s="71"/>
      <c r="C49" s="131"/>
      <c r="D49" s="71"/>
      <c r="E49" s="71"/>
      <c r="F49" s="71"/>
      <c r="G49" s="71"/>
    </row>
    <row r="50" spans="1:7" ht="15">
      <c r="A50" s="71"/>
      <c r="B50" s="71"/>
      <c r="C50" s="133" t="s">
        <v>51</v>
      </c>
      <c r="D50" s="71"/>
      <c r="E50" s="134"/>
      <c r="F50" s="134"/>
      <c r="G50" s="134"/>
    </row>
  </sheetData>
  <sheetProtection/>
  <mergeCells count="24">
    <mergeCell ref="B44:C44"/>
    <mergeCell ref="F44:G44"/>
    <mergeCell ref="B43:C43"/>
    <mergeCell ref="F43:G43"/>
    <mergeCell ref="B45:C45"/>
    <mergeCell ref="F45:G45"/>
    <mergeCell ref="B40:C40"/>
    <mergeCell ref="F40:G40"/>
    <mergeCell ref="B41:C41"/>
    <mergeCell ref="F41:G41"/>
    <mergeCell ref="B42:C42"/>
    <mergeCell ref="F42:G42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7030A0"/>
  </sheetPr>
  <dimension ref="A1:P53"/>
  <sheetViews>
    <sheetView zoomScalePageLayoutView="0" workbookViewId="0" topLeftCell="A1">
      <selection activeCell="F41" sqref="F41:G48"/>
    </sheetView>
  </sheetViews>
  <sheetFormatPr defaultColWidth="9.140625" defaultRowHeight="15" outlineLevelCol="1"/>
  <cols>
    <col min="1" max="1" width="5.57421875" style="61" customWidth="1"/>
    <col min="2" max="2" width="47.7109375" style="61" customWidth="1"/>
    <col min="3" max="3" width="15.8515625" style="61" customWidth="1"/>
    <col min="4" max="4" width="14.8515625" style="61" customWidth="1"/>
    <col min="5" max="5" width="12.8515625" style="61" customWidth="1"/>
    <col min="6" max="6" width="13.003906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140625" style="6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160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161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440031.08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'[1]Дубрава10'!$G$35</f>
        <v>50819.499599999996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6" s="63" customFormat="1" ht="28.5">
      <c r="A17" s="79" t="s">
        <v>14</v>
      </c>
      <c r="B17" s="41" t="s">
        <v>15</v>
      </c>
      <c r="C17" s="141">
        <f>C18+C19+C20+C21</f>
        <v>9.53</v>
      </c>
      <c r="D17" s="80">
        <v>386628.09</v>
      </c>
      <c r="E17" s="80">
        <v>363670.433</v>
      </c>
      <c r="F17" s="80">
        <f>D17</f>
        <v>386628.09</v>
      </c>
      <c r="G17" s="81">
        <f>E17-D17</f>
        <v>-22957.657000000007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135502.39460650578</v>
      </c>
      <c r="E18" s="87">
        <f>E17*I18</f>
        <v>127456.37420986358</v>
      </c>
      <c r="F18" s="87">
        <f>D18</f>
        <v>135502.39460650578</v>
      </c>
      <c r="G18" s="88">
        <f aca="true" t="shared" si="0" ref="G18:G26">E18-D18</f>
        <v>-8046.020396642198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66128.41413431271</v>
      </c>
      <c r="E19" s="87">
        <f>E17*I19</f>
        <v>62201.763461699906</v>
      </c>
      <c r="F19" s="87">
        <f>D19</f>
        <v>66128.41413431271</v>
      </c>
      <c r="G19" s="88">
        <f t="shared" si="0"/>
        <v>-3926.6506726128064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66128.41413431271</v>
      </c>
      <c r="E20" s="87">
        <f>E17*I20</f>
        <v>62201.763461699906</v>
      </c>
      <c r="F20" s="87">
        <f>D20</f>
        <v>66128.41413431271</v>
      </c>
      <c r="G20" s="88">
        <f t="shared" si="0"/>
        <v>-3926.6506726128064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118868.86712486886</v>
      </c>
      <c r="E21" s="87">
        <f>E17*I21</f>
        <v>111810.53186673664</v>
      </c>
      <c r="F21" s="87">
        <f>D21</f>
        <v>118868.86712486886</v>
      </c>
      <c r="G21" s="88">
        <f t="shared" si="0"/>
        <v>-7058.335258132225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1">
        <v>1.8</v>
      </c>
      <c r="D25" s="91">
        <v>70606.08</v>
      </c>
      <c r="E25" s="91">
        <v>68217.77</v>
      </c>
      <c r="F25" s="91">
        <f>F40</f>
        <v>78597.6977</v>
      </c>
      <c r="G25" s="91">
        <f>E25-D25</f>
        <v>-2388.3099999999977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>
        <v>1902.11</v>
      </c>
      <c r="D26" s="81">
        <v>0</v>
      </c>
      <c r="E26" s="81">
        <v>0</v>
      </c>
      <c r="F26" s="91">
        <f>D26</f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1388980.9</v>
      </c>
      <c r="E27" s="81">
        <f>SUM(E28:E31)</f>
        <v>1330833.8399999999</v>
      </c>
      <c r="F27" s="81">
        <f>SUM(F28:F31)</f>
        <v>1388980.9</v>
      </c>
      <c r="G27" s="81">
        <f>SUM(G28:G31)</f>
        <v>-58147.06000000004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22744.62</v>
      </c>
      <c r="E28" s="88">
        <v>21031.42</v>
      </c>
      <c r="F28" s="88">
        <f>D28</f>
        <v>22744.62</v>
      </c>
      <c r="G28" s="88">
        <f>E28-D28</f>
        <v>-1713.2000000000007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550674.37</v>
      </c>
      <c r="E29" s="88">
        <v>508233.56</v>
      </c>
      <c r="F29" s="88">
        <f>D29</f>
        <v>550674.37</v>
      </c>
      <c r="G29" s="88">
        <f>E29-D29</f>
        <v>-42440.81</v>
      </c>
    </row>
    <row r="30" spans="1:7" ht="15">
      <c r="A30" s="34" t="s">
        <v>42</v>
      </c>
      <c r="B30" s="34" t="s">
        <v>143</v>
      </c>
      <c r="C30" s="149">
        <v>0</v>
      </c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301</v>
      </c>
      <c r="D31" s="88">
        <v>815561.91</v>
      </c>
      <c r="E31" s="88">
        <v>801568.86</v>
      </c>
      <c r="F31" s="88">
        <f>D31</f>
        <v>815561.91</v>
      </c>
      <c r="G31" s="88">
        <f>E31-D31</f>
        <v>-13993.050000000047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D12+D17+D23+D24+D25+D26+D27-E17-E23-E24-E25-E26-E27</f>
        <v>523524.1070000001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40439.571899999995</v>
      </c>
      <c r="H35" s="66"/>
      <c r="I35" s="66"/>
    </row>
    <row r="36" spans="1:11" s="71" customFormat="1" ht="1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</row>
    <row r="37" spans="1:11" s="71" customFormat="1" ht="24.7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</row>
    <row r="38" spans="1:13" s="106" customFormat="1" ht="9.7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105"/>
      <c r="M38" s="105"/>
    </row>
    <row r="39" spans="1:11" ht="28.5" customHeight="1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1" ht="15">
      <c r="A40" s="113" t="s">
        <v>47</v>
      </c>
      <c r="B40" s="342" t="s">
        <v>114</v>
      </c>
      <c r="C40" s="345"/>
      <c r="D40" s="115"/>
      <c r="E40" s="115"/>
      <c r="F40" s="356">
        <f>SUM(F41:G48)</f>
        <v>78597.6977</v>
      </c>
      <c r="G40" s="351"/>
      <c r="H40" s="270"/>
      <c r="I40" s="271"/>
      <c r="J40" s="119"/>
      <c r="K40" s="119"/>
    </row>
    <row r="41" spans="1:11" ht="15">
      <c r="A41" s="34" t="s">
        <v>16</v>
      </c>
      <c r="B41" s="325" t="s">
        <v>607</v>
      </c>
      <c r="C41" s="327"/>
      <c r="D41" s="123" t="s">
        <v>269</v>
      </c>
      <c r="E41" s="123">
        <v>0.02</v>
      </c>
      <c r="F41" s="366">
        <v>1087.52</v>
      </c>
      <c r="G41" s="367"/>
      <c r="H41" s="117"/>
      <c r="I41" s="118"/>
      <c r="J41" s="119"/>
      <c r="K41" s="119"/>
    </row>
    <row r="42" spans="1:11" ht="15">
      <c r="A42" s="34" t="s">
        <v>18</v>
      </c>
      <c r="B42" s="325" t="s">
        <v>607</v>
      </c>
      <c r="C42" s="327"/>
      <c r="D42" s="123" t="s">
        <v>269</v>
      </c>
      <c r="E42" s="123">
        <v>0.05</v>
      </c>
      <c r="F42" s="366">
        <v>1303</v>
      </c>
      <c r="G42" s="367"/>
      <c r="H42" s="117"/>
      <c r="I42" s="118"/>
      <c r="J42" s="119"/>
      <c r="K42" s="119"/>
    </row>
    <row r="43" spans="1:11" ht="15">
      <c r="A43" s="34" t="s">
        <v>20</v>
      </c>
      <c r="B43" s="325" t="s">
        <v>621</v>
      </c>
      <c r="C43" s="327"/>
      <c r="D43" s="123" t="s">
        <v>269</v>
      </c>
      <c r="E43" s="123">
        <v>0.01</v>
      </c>
      <c r="F43" s="366">
        <v>572</v>
      </c>
      <c r="G43" s="367"/>
      <c r="H43" s="117"/>
      <c r="I43" s="118"/>
      <c r="J43" s="119"/>
      <c r="K43" s="119"/>
    </row>
    <row r="44" spans="1:11" ht="15">
      <c r="A44" s="34" t="s">
        <v>22</v>
      </c>
      <c r="B44" s="325" t="s">
        <v>622</v>
      </c>
      <c r="C44" s="327"/>
      <c r="D44" s="123" t="s">
        <v>265</v>
      </c>
      <c r="E44" s="126">
        <v>0.035</v>
      </c>
      <c r="F44" s="366">
        <v>3946</v>
      </c>
      <c r="G44" s="367"/>
      <c r="H44" s="117"/>
      <c r="I44" s="118"/>
      <c r="J44" s="119"/>
      <c r="K44" s="119"/>
    </row>
    <row r="45" spans="1:11" ht="15">
      <c r="A45" s="34" t="s">
        <v>24</v>
      </c>
      <c r="B45" s="325" t="s">
        <v>357</v>
      </c>
      <c r="C45" s="327"/>
      <c r="D45" s="123" t="s">
        <v>176</v>
      </c>
      <c r="E45" s="123">
        <v>6</v>
      </c>
      <c r="F45" s="366">
        <v>26207</v>
      </c>
      <c r="G45" s="367"/>
      <c r="H45" s="117"/>
      <c r="I45" s="118"/>
      <c r="J45" s="119"/>
      <c r="K45" s="119"/>
    </row>
    <row r="46" spans="1:11" ht="15">
      <c r="A46" s="276" t="s">
        <v>106</v>
      </c>
      <c r="B46" s="325" t="s">
        <v>663</v>
      </c>
      <c r="C46" s="350"/>
      <c r="D46" s="123"/>
      <c r="E46" s="159" t="s">
        <v>286</v>
      </c>
      <c r="F46" s="355">
        <v>9800</v>
      </c>
      <c r="G46" s="355"/>
      <c r="H46" s="117"/>
      <c r="I46" s="118"/>
      <c r="J46" s="119"/>
      <c r="K46" s="119"/>
    </row>
    <row r="47" spans="1:11" ht="15">
      <c r="A47" s="276" t="s">
        <v>107</v>
      </c>
      <c r="B47" s="325" t="s">
        <v>762</v>
      </c>
      <c r="C47" s="350"/>
      <c r="D47" s="123"/>
      <c r="E47" s="159"/>
      <c r="F47" s="438">
        <v>35000</v>
      </c>
      <c r="G47" s="438"/>
      <c r="H47" s="117"/>
      <c r="I47" s="118"/>
      <c r="J47" s="119"/>
      <c r="K47" s="119"/>
    </row>
    <row r="48" spans="1:14" s="119" customFormat="1" ht="15" customHeight="1">
      <c r="A48" s="276" t="s">
        <v>120</v>
      </c>
      <c r="B48" s="364" t="s">
        <v>207</v>
      </c>
      <c r="C48" s="365"/>
      <c r="D48" s="129"/>
      <c r="E48" s="129"/>
      <c r="F48" s="355">
        <f>E25*1%</f>
        <v>682.1777000000001</v>
      </c>
      <c r="G48" s="355"/>
      <c r="H48" s="63"/>
      <c r="I48" s="63"/>
      <c r="J48" s="63"/>
      <c r="K48" s="63"/>
      <c r="N48" s="120"/>
    </row>
    <row r="49" spans="1:14" ht="15.75" customHeight="1">
      <c r="A49" s="63"/>
      <c r="B49" s="63"/>
      <c r="C49" s="63"/>
      <c r="D49" s="63"/>
      <c r="E49" s="63"/>
      <c r="F49" s="63"/>
      <c r="G49" s="63"/>
      <c r="H49" s="71"/>
      <c r="I49" s="71"/>
      <c r="J49" s="71"/>
      <c r="K49" s="71"/>
      <c r="N49" s="124"/>
    </row>
    <row r="50" spans="1:11" ht="15">
      <c r="A50" s="71" t="s">
        <v>55</v>
      </c>
      <c r="B50" s="71"/>
      <c r="C50" s="131" t="s">
        <v>49</v>
      </c>
      <c r="D50" s="71"/>
      <c r="E50" s="71"/>
      <c r="F50" s="71" t="s">
        <v>93</v>
      </c>
      <c r="G50" s="71"/>
      <c r="H50" s="63"/>
      <c r="I50" s="63"/>
      <c r="J50" s="63"/>
      <c r="K50" s="63"/>
    </row>
    <row r="51" spans="1:10" s="63" customFormat="1" ht="15">
      <c r="A51" s="71"/>
      <c r="B51" s="71"/>
      <c r="C51" s="131"/>
      <c r="D51" s="71"/>
      <c r="E51" s="71"/>
      <c r="F51" s="132" t="s">
        <v>296</v>
      </c>
      <c r="G51" s="71"/>
      <c r="H51" s="164"/>
      <c r="I51" s="164"/>
      <c r="J51" s="164"/>
    </row>
    <row r="52" spans="1:7" s="63" customFormat="1" ht="15">
      <c r="A52" s="71" t="s">
        <v>50</v>
      </c>
      <c r="B52" s="71"/>
      <c r="C52" s="131"/>
      <c r="D52" s="71"/>
      <c r="E52" s="71"/>
      <c r="F52" s="71"/>
      <c r="G52" s="71"/>
    </row>
    <row r="53" spans="1:7" s="63" customFormat="1" ht="15">
      <c r="A53" s="71"/>
      <c r="B53" s="71"/>
      <c r="C53" s="133" t="s">
        <v>51</v>
      </c>
      <c r="D53" s="71"/>
      <c r="E53" s="134"/>
      <c r="F53" s="134"/>
      <c r="G53" s="134"/>
    </row>
    <row r="54" s="63" customFormat="1" ht="12.75"/>
  </sheetData>
  <sheetProtection/>
  <mergeCells count="30">
    <mergeCell ref="B41:C41"/>
    <mergeCell ref="F41:G41"/>
    <mergeCell ref="B42:C42"/>
    <mergeCell ref="F42:G42"/>
    <mergeCell ref="A33:C33"/>
    <mergeCell ref="A37:K37"/>
    <mergeCell ref="B39:C39"/>
    <mergeCell ref="F39:G39"/>
    <mergeCell ref="B40:C40"/>
    <mergeCell ref="F40:G40"/>
    <mergeCell ref="B46:C46"/>
    <mergeCell ref="F46:G46"/>
    <mergeCell ref="A10:K10"/>
    <mergeCell ref="A1:K1"/>
    <mergeCell ref="A2:K2"/>
    <mergeCell ref="A3:K3"/>
    <mergeCell ref="A5:K5"/>
    <mergeCell ref="A9:K9"/>
    <mergeCell ref="A11:K11"/>
    <mergeCell ref="A12:C12"/>
    <mergeCell ref="B47:C47"/>
    <mergeCell ref="F47:G47"/>
    <mergeCell ref="B48:C48"/>
    <mergeCell ref="F48:G48"/>
    <mergeCell ref="B43:C43"/>
    <mergeCell ref="F43:G43"/>
    <mergeCell ref="B44:C44"/>
    <mergeCell ref="F44:G44"/>
    <mergeCell ref="B45:C45"/>
    <mergeCell ref="F45:G45"/>
  </mergeCells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5.8515625" style="61" customWidth="1"/>
    <col min="2" max="2" width="49.140625" style="61" customWidth="1"/>
    <col min="3" max="4" width="14.8515625" style="61" customWidth="1"/>
    <col min="5" max="5" width="13.421875" style="61" customWidth="1"/>
    <col min="6" max="6" width="13.710937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140625" style="6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195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623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208758.82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'[1]Дубрава 11'!$G$35</f>
        <v>102560.131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6" s="63" customFormat="1" ht="14.25">
      <c r="A17" s="79" t="s">
        <v>14</v>
      </c>
      <c r="B17" s="41" t="s">
        <v>15</v>
      </c>
      <c r="C17" s="141">
        <f>C18+C19+C20+C21</f>
        <v>9.53</v>
      </c>
      <c r="D17" s="80">
        <v>424226.7</v>
      </c>
      <c r="E17" s="80">
        <v>406208.59</v>
      </c>
      <c r="F17" s="80">
        <f>D17</f>
        <v>424226.7</v>
      </c>
      <c r="G17" s="81">
        <f>E17-D17</f>
        <v>-18018.109999999986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148679.66190975867</v>
      </c>
      <c r="E18" s="87">
        <f>E17*I18</f>
        <v>142364.81538300106</v>
      </c>
      <c r="F18" s="87">
        <f>D18</f>
        <v>148679.66190975867</v>
      </c>
      <c r="G18" s="88">
        <f aca="true" t="shared" si="0" ref="G18:G26">E18-D18</f>
        <v>-6314.84652675761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72559.23620146906</v>
      </c>
      <c r="E19" s="87">
        <f>E17*I19</f>
        <v>69477.43984260231</v>
      </c>
      <c r="F19" s="87">
        <f>D19</f>
        <v>72559.23620146906</v>
      </c>
      <c r="G19" s="88">
        <f t="shared" si="0"/>
        <v>-3081.796358866748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72559.23620146906</v>
      </c>
      <c r="E20" s="87">
        <f>E17*I20</f>
        <v>69477.43984260231</v>
      </c>
      <c r="F20" s="87">
        <f>D20</f>
        <v>72559.23620146906</v>
      </c>
      <c r="G20" s="88">
        <f t="shared" si="0"/>
        <v>-3081.796358866748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130428.56568730327</v>
      </c>
      <c r="E21" s="87">
        <f>E17*I21</f>
        <v>124888.89493179436</v>
      </c>
      <c r="F21" s="87">
        <f>D21</f>
        <v>130428.56568730327</v>
      </c>
      <c r="G21" s="88">
        <f t="shared" si="0"/>
        <v>-5539.670755508909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1">
        <v>1.8</v>
      </c>
      <c r="D25" s="91">
        <v>80051.76</v>
      </c>
      <c r="E25" s="91">
        <v>76663.4</v>
      </c>
      <c r="F25" s="91">
        <f>F40</f>
        <v>50506.863999999994</v>
      </c>
      <c r="G25" s="91">
        <f>E25-D25</f>
        <v>-3388.3600000000006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>
        <v>39.62</v>
      </c>
      <c r="D26" s="81">
        <v>0</v>
      </c>
      <c r="E26" s="81">
        <v>0</v>
      </c>
      <c r="F26" s="91"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1928381.23</v>
      </c>
      <c r="E27" s="81">
        <f>SUM(E28:E31)</f>
        <v>1817057.13</v>
      </c>
      <c r="F27" s="81">
        <f>SUM(F28:F31)</f>
        <v>1928381.23</v>
      </c>
      <c r="G27" s="81">
        <f>SUM(G28:G31)</f>
        <v>-111324.10000000003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63953.2</v>
      </c>
      <c r="E28" s="88">
        <v>60801.01</v>
      </c>
      <c r="F28" s="88">
        <f>D28</f>
        <v>63953.2</v>
      </c>
      <c r="G28" s="88">
        <f>E28-D28</f>
        <v>-3152.189999999995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619993.54</v>
      </c>
      <c r="E29" s="88">
        <v>570662.82</v>
      </c>
      <c r="F29" s="88">
        <f>D29</f>
        <v>619993.54</v>
      </c>
      <c r="G29" s="88">
        <f>E29-D29</f>
        <v>-49330.72000000009</v>
      </c>
    </row>
    <row r="30" spans="1:7" ht="15">
      <c r="A30" s="34" t="s">
        <v>42</v>
      </c>
      <c r="B30" s="34" t="s">
        <v>143</v>
      </c>
      <c r="C30" s="149">
        <v>0</v>
      </c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301</v>
      </c>
      <c r="D31" s="88">
        <v>1244434.49</v>
      </c>
      <c r="E31" s="88">
        <v>1185593.3</v>
      </c>
      <c r="F31" s="88">
        <f>D31</f>
        <v>1244434.49</v>
      </c>
      <c r="G31" s="88">
        <f>E31-D31</f>
        <v>-58841.189999999944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D12+D17+D23+D24+D25+D26+D27-E17-E23-E24-E25-E26-E27</f>
        <v>341489.39000000013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128716.66699999999</v>
      </c>
      <c r="H35" s="66"/>
      <c r="I35" s="66"/>
    </row>
    <row r="36" spans="1:11" s="71" customFormat="1" ht="1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</row>
    <row r="37" spans="1:13" s="106" customFormat="1" ht="25.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105"/>
      <c r="M37" s="105"/>
    </row>
    <row r="39" spans="1:11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4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SUM(F41:G45)</f>
        <v>50506.863999999994</v>
      </c>
      <c r="G40" s="351"/>
      <c r="H40" s="270"/>
      <c r="I40" s="271"/>
      <c r="J40" s="119"/>
      <c r="K40" s="119"/>
      <c r="N40" s="112"/>
    </row>
    <row r="41" spans="1:14" s="119" customFormat="1" ht="15">
      <c r="A41" s="34" t="s">
        <v>16</v>
      </c>
      <c r="B41" s="325" t="s">
        <v>554</v>
      </c>
      <c r="C41" s="327"/>
      <c r="D41" s="123" t="s">
        <v>173</v>
      </c>
      <c r="E41" s="123">
        <v>0.05</v>
      </c>
      <c r="F41" s="366">
        <v>25438</v>
      </c>
      <c r="G41" s="367"/>
      <c r="H41" s="272"/>
      <c r="I41" s="273"/>
      <c r="J41" s="61"/>
      <c r="K41" s="61"/>
      <c r="N41" s="120"/>
    </row>
    <row r="42" spans="1:7" s="63" customFormat="1" ht="15">
      <c r="A42" s="34" t="s">
        <v>18</v>
      </c>
      <c r="B42" s="325" t="s">
        <v>539</v>
      </c>
      <c r="C42" s="327"/>
      <c r="D42" s="123" t="s">
        <v>177</v>
      </c>
      <c r="E42" s="123">
        <v>800</v>
      </c>
      <c r="F42" s="439">
        <v>10835.57</v>
      </c>
      <c r="G42" s="440"/>
    </row>
    <row r="43" spans="1:7" s="63" customFormat="1" ht="15">
      <c r="A43" s="34" t="s">
        <v>20</v>
      </c>
      <c r="B43" s="325" t="s">
        <v>624</v>
      </c>
      <c r="C43" s="327"/>
      <c r="D43" s="123" t="s">
        <v>265</v>
      </c>
      <c r="E43" s="123">
        <v>0.02</v>
      </c>
      <c r="F43" s="366">
        <v>2966.66</v>
      </c>
      <c r="G43" s="367"/>
    </row>
    <row r="44" spans="1:7" s="71" customFormat="1" ht="15">
      <c r="A44" s="34" t="s">
        <v>22</v>
      </c>
      <c r="B44" s="325" t="s">
        <v>663</v>
      </c>
      <c r="C44" s="350"/>
      <c r="D44" s="123"/>
      <c r="E44" s="159" t="s">
        <v>286</v>
      </c>
      <c r="F44" s="355">
        <v>10500</v>
      </c>
      <c r="G44" s="355"/>
    </row>
    <row r="45" spans="1:10" s="63" customFormat="1" ht="15">
      <c r="A45" s="34" t="s">
        <v>24</v>
      </c>
      <c r="B45" s="364" t="s">
        <v>207</v>
      </c>
      <c r="C45" s="365"/>
      <c r="D45" s="129"/>
      <c r="E45" s="129"/>
      <c r="F45" s="355">
        <f>E25*1%</f>
        <v>766.634</v>
      </c>
      <c r="G45" s="355"/>
      <c r="H45" s="164"/>
      <c r="I45" s="164"/>
      <c r="J45" s="164"/>
    </row>
    <row r="46" s="63" customFormat="1" ht="12.75"/>
    <row r="47" spans="1:7" s="63" customFormat="1" ht="15">
      <c r="A47" s="71" t="s">
        <v>55</v>
      </c>
      <c r="B47" s="71"/>
      <c r="C47" s="131" t="s">
        <v>49</v>
      </c>
      <c r="D47" s="71"/>
      <c r="E47" s="71"/>
      <c r="F47" s="71" t="s">
        <v>93</v>
      </c>
      <c r="G47" s="71"/>
    </row>
    <row r="48" spans="1:7" ht="15">
      <c r="A48" s="71"/>
      <c r="B48" s="71"/>
      <c r="C48" s="131"/>
      <c r="D48" s="71"/>
      <c r="E48" s="71"/>
      <c r="F48" s="132" t="s">
        <v>296</v>
      </c>
      <c r="G48" s="71"/>
    </row>
    <row r="49" spans="1:7" ht="15">
      <c r="A49" s="71" t="s">
        <v>50</v>
      </c>
      <c r="B49" s="71"/>
      <c r="C49" s="131"/>
      <c r="D49" s="71"/>
      <c r="E49" s="71"/>
      <c r="F49" s="71"/>
      <c r="G49" s="71"/>
    </row>
    <row r="50" spans="1:7" ht="15">
      <c r="A50" s="71"/>
      <c r="B50" s="71"/>
      <c r="C50" s="133" t="s">
        <v>51</v>
      </c>
      <c r="D50" s="71"/>
      <c r="E50" s="134"/>
      <c r="F50" s="134"/>
      <c r="G50" s="134"/>
    </row>
  </sheetData>
  <sheetProtection/>
  <mergeCells count="24">
    <mergeCell ref="B45:C45"/>
    <mergeCell ref="F45:G45"/>
    <mergeCell ref="B43:C43"/>
    <mergeCell ref="F43:G43"/>
    <mergeCell ref="B44:C44"/>
    <mergeCell ref="F44:G44"/>
    <mergeCell ref="B40:C40"/>
    <mergeCell ref="F40:G40"/>
    <mergeCell ref="B41:C41"/>
    <mergeCell ref="F41:G41"/>
    <mergeCell ref="B42:C42"/>
    <mergeCell ref="F42:G42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7030A0"/>
  </sheetPr>
  <dimension ref="A1:L47"/>
  <sheetViews>
    <sheetView zoomScalePageLayoutView="0" workbookViewId="0" topLeftCell="A1">
      <selection activeCell="E12" sqref="E12"/>
    </sheetView>
  </sheetViews>
  <sheetFormatPr defaultColWidth="9.140625" defaultRowHeight="15" outlineLevelCol="1"/>
  <cols>
    <col min="1" max="1" width="5.421875" style="61" customWidth="1"/>
    <col min="2" max="2" width="48.57421875" style="61" customWidth="1"/>
    <col min="3" max="3" width="15.421875" style="61" customWidth="1"/>
    <col min="4" max="4" width="14.8515625" style="61" customWidth="1"/>
    <col min="5" max="5" width="13.57421875" style="61" customWidth="1"/>
    <col min="6" max="6" width="13.00390625" style="61" customWidth="1"/>
    <col min="7" max="7" width="14.57421875" style="61" customWidth="1"/>
    <col min="8" max="9" width="11.57421875" style="61" hidden="1" customWidth="1" outlineLevel="1"/>
    <col min="10" max="10" width="9.140625" style="61" customWidth="1" collapsed="1"/>
    <col min="11" max="11" width="10.00390625" style="61" bestFit="1" customWidth="1"/>
    <col min="12" max="12" width="15.8515625" style="61" customWidth="1"/>
    <col min="13" max="16384" width="9.140625" style="61" customWidth="1"/>
  </cols>
  <sheetData>
    <row r="1" spans="1:9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</row>
    <row r="3" spans="1:9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</row>
    <row r="4" spans="1:9" ht="9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</row>
    <row r="7" spans="1:8" s="63" customFormat="1" ht="16.5" customHeight="1">
      <c r="A7" s="63" t="s">
        <v>2</v>
      </c>
      <c r="F7" s="64" t="s">
        <v>237</v>
      </c>
      <c r="H7" s="64"/>
    </row>
    <row r="8" spans="1:8" s="63" customFormat="1" ht="12.75">
      <c r="A8" s="63" t="s">
        <v>3</v>
      </c>
      <c r="F8" s="64" t="s">
        <v>551</v>
      </c>
      <c r="H8" s="64"/>
    </row>
    <row r="9" spans="1:9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</row>
    <row r="10" spans="1:9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</row>
    <row r="11" spans="1:9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6.5" customHeight="1" thickBot="1">
      <c r="A12" s="441" t="s">
        <v>213</v>
      </c>
      <c r="B12" s="442"/>
      <c r="C12" s="442"/>
      <c r="D12" s="51">
        <v>134072.41</v>
      </c>
      <c r="E12" s="70"/>
      <c r="F12" s="70"/>
      <c r="G12" s="70"/>
      <c r="H12" s="66"/>
      <c r="I12" s="66"/>
    </row>
    <row r="13" spans="1:9" s="71" customFormat="1" ht="6" customHeight="1" thickBot="1">
      <c r="A13" s="277"/>
      <c r="B13" s="277"/>
      <c r="C13" s="277"/>
      <c r="D13" s="40"/>
      <c r="E13" s="70"/>
      <c r="F13" s="70"/>
      <c r="G13" s="70"/>
      <c r="H13" s="66"/>
      <c r="I13" s="66"/>
    </row>
    <row r="14" spans="1:9" s="71" customFormat="1" ht="15.75" thickBot="1">
      <c r="A14" s="278" t="s">
        <v>514</v>
      </c>
      <c r="B14" s="279"/>
      <c r="C14" s="279"/>
      <c r="D14" s="280"/>
      <c r="E14" s="74"/>
      <c r="F14" s="74"/>
      <c r="G14" s="69">
        <f>'[1]Нефтебаза 1'!$G$35</f>
        <v>34917.8198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540</v>
      </c>
    </row>
    <row r="17" spans="1:12" s="63" customFormat="1" ht="14.25">
      <c r="A17" s="79" t="s">
        <v>14</v>
      </c>
      <c r="B17" s="41" t="s">
        <v>15</v>
      </c>
      <c r="C17" s="141">
        <f>C18+C19+C20+C21</f>
        <v>9.53</v>
      </c>
      <c r="D17" s="80">
        <v>154191.84</v>
      </c>
      <c r="E17" s="80">
        <v>153380.84</v>
      </c>
      <c r="F17" s="80">
        <f>D17</f>
        <v>154191.84</v>
      </c>
      <c r="G17" s="81">
        <f>E17-D17</f>
        <v>-811</v>
      </c>
      <c r="H17" s="82">
        <f>C17</f>
        <v>9.53</v>
      </c>
      <c r="I17" s="83"/>
      <c r="K17" s="82"/>
      <c r="L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54039.95231899265</v>
      </c>
      <c r="E18" s="87">
        <f>E17*I18</f>
        <v>53755.71937040923</v>
      </c>
      <c r="F18" s="87">
        <f>D18</f>
        <v>54039.95231899265</v>
      </c>
      <c r="G18" s="88">
        <f aca="true" t="shared" si="0" ref="G18:G26">E18-D18</f>
        <v>-284.2329485834198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26372.79110178384</v>
      </c>
      <c r="E19" s="87">
        <f>E17*I19</f>
        <v>26234.078614900314</v>
      </c>
      <c r="F19" s="87">
        <f>D19</f>
        <v>26372.79110178384</v>
      </c>
      <c r="G19" s="88">
        <f t="shared" si="0"/>
        <v>-138.71248688352716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26372.79110178384</v>
      </c>
      <c r="E20" s="87">
        <f>E17*I20</f>
        <v>26234.078614900314</v>
      </c>
      <c r="F20" s="87">
        <f>D20</f>
        <v>26372.79110178384</v>
      </c>
      <c r="G20" s="88">
        <f t="shared" si="0"/>
        <v>-138.71248688352716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47406.30547743967</v>
      </c>
      <c r="E21" s="87">
        <f>E17*I21</f>
        <v>47156.96339979014</v>
      </c>
      <c r="F21" s="87">
        <f>D21</f>
        <v>47406.30547743967</v>
      </c>
      <c r="G21" s="88">
        <f t="shared" si="0"/>
        <v>-249.34207764953317</v>
      </c>
      <c r="H21" s="82">
        <f>C21</f>
        <v>2.93</v>
      </c>
      <c r="I21" s="63">
        <f>H21/H17</f>
        <v>0.30745015739769155</v>
      </c>
    </row>
    <row r="22" spans="1:9" s="93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</row>
    <row r="23" spans="1:9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</row>
    <row r="24" spans="1:9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</row>
    <row r="25" spans="1:9" s="93" customFormat="1" ht="14.25">
      <c r="A25" s="90" t="s">
        <v>31</v>
      </c>
      <c r="B25" s="90" t="s">
        <v>119</v>
      </c>
      <c r="C25" s="91">
        <v>3</v>
      </c>
      <c r="D25" s="91">
        <v>48538.8</v>
      </c>
      <c r="E25" s="91">
        <v>48502.35</v>
      </c>
      <c r="F25" s="91">
        <f>F40</f>
        <v>3845.0235000000002</v>
      </c>
      <c r="G25" s="91">
        <f>E25-D25</f>
        <v>-36.450000000004366</v>
      </c>
      <c r="H25" s="92"/>
      <c r="I25" s="92"/>
    </row>
    <row r="26" spans="1:9" ht="14.25">
      <c r="A26" s="41" t="s">
        <v>33</v>
      </c>
      <c r="B26" s="41" t="s">
        <v>170</v>
      </c>
      <c r="C26" s="81">
        <v>0</v>
      </c>
      <c r="D26" s="81">
        <v>0</v>
      </c>
      <c r="E26" s="81">
        <v>0</v>
      </c>
      <c r="F26" s="91">
        <v>0</v>
      </c>
      <c r="G26" s="81">
        <f t="shared" si="0"/>
        <v>0</v>
      </c>
      <c r="H26" s="102"/>
      <c r="I26" s="102"/>
    </row>
    <row r="27" spans="1:9" ht="14.25">
      <c r="A27" s="41" t="s">
        <v>35</v>
      </c>
      <c r="B27" s="41" t="s">
        <v>36</v>
      </c>
      <c r="C27" s="81"/>
      <c r="D27" s="81">
        <f>SUM(D28:D31)</f>
        <v>792100.32</v>
      </c>
      <c r="E27" s="81">
        <f>SUM(E28:E31)</f>
        <v>816619.45</v>
      </c>
      <c r="F27" s="81">
        <f>SUM(F28:F31)</f>
        <v>792100.32</v>
      </c>
      <c r="G27" s="81">
        <f>SUM(G28:G31)</f>
        <v>24519.13000000004</v>
      </c>
      <c r="H27" s="102"/>
      <c r="I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21678.87</v>
      </c>
      <c r="E28" s="88">
        <v>22113.49</v>
      </c>
      <c r="F28" s="88">
        <f>D28</f>
        <v>21678.87</v>
      </c>
      <c r="G28" s="88">
        <f>E28-D28</f>
        <v>434.6200000000026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226846.74</v>
      </c>
      <c r="E29" s="88">
        <v>238052.21</v>
      </c>
      <c r="F29" s="88">
        <f>D29</f>
        <v>226846.74</v>
      </c>
      <c r="G29" s="88">
        <f>E29-D29</f>
        <v>11205.470000000001</v>
      </c>
    </row>
    <row r="30" spans="1:7" ht="15">
      <c r="A30" s="34" t="s">
        <v>42</v>
      </c>
      <c r="B30" s="34" t="s">
        <v>143</v>
      </c>
      <c r="C30" s="149">
        <v>0</v>
      </c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383</v>
      </c>
      <c r="D31" s="88">
        <v>543574.71</v>
      </c>
      <c r="E31" s="88">
        <v>556453.75</v>
      </c>
      <c r="F31" s="88">
        <f>D31</f>
        <v>543574.71</v>
      </c>
      <c r="G31" s="88">
        <f>E31-D31</f>
        <v>12879.040000000037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D12+D17+D23+D24+D25+D26+D27-E17-E23-E24-E25-E26-E27</f>
        <v>110400.72999999998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0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79575.14630000001</v>
      </c>
      <c r="H35" s="66"/>
      <c r="I35" s="66"/>
      <c r="J35" s="152"/>
    </row>
    <row r="36" spans="1:9" s="71" customFormat="1" ht="15">
      <c r="A36" s="108"/>
      <c r="B36" s="108"/>
      <c r="C36" s="108"/>
      <c r="D36" s="108"/>
      <c r="E36" s="105"/>
      <c r="F36" s="105"/>
      <c r="G36" s="105"/>
      <c r="H36" s="105"/>
      <c r="I36" s="105"/>
    </row>
    <row r="37" spans="1:9" s="106" customFormat="1" ht="29.25" customHeight="1">
      <c r="A37" s="321" t="s">
        <v>44</v>
      </c>
      <c r="B37" s="349"/>
      <c r="C37" s="349"/>
      <c r="D37" s="349"/>
      <c r="E37" s="349"/>
      <c r="F37" s="349"/>
      <c r="G37" s="349"/>
      <c r="H37" s="62"/>
      <c r="I37" s="62"/>
    </row>
    <row r="39" spans="1:9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426" t="s">
        <v>46</v>
      </c>
      <c r="G39" s="426"/>
      <c r="H39" s="110"/>
      <c r="I39" s="111"/>
    </row>
    <row r="40" spans="1:10" s="78" customFormat="1" ht="15">
      <c r="A40" s="113" t="s">
        <v>47</v>
      </c>
      <c r="B40" s="342" t="s">
        <v>114</v>
      </c>
      <c r="C40" s="345"/>
      <c r="D40" s="115"/>
      <c r="E40" s="115"/>
      <c r="F40" s="436">
        <f>SUM(F41:G42)</f>
        <v>3845.0235000000002</v>
      </c>
      <c r="G40" s="437"/>
      <c r="H40" s="117"/>
      <c r="I40" s="118"/>
      <c r="J40" s="112"/>
    </row>
    <row r="41" spans="1:10" s="119" customFormat="1" ht="15" customHeight="1">
      <c r="A41" s="34" t="s">
        <v>16</v>
      </c>
      <c r="B41" s="325" t="s">
        <v>663</v>
      </c>
      <c r="C41" s="350"/>
      <c r="D41" s="123"/>
      <c r="E41" s="159" t="s">
        <v>286</v>
      </c>
      <c r="F41" s="355">
        <v>3360</v>
      </c>
      <c r="G41" s="355"/>
      <c r="H41" s="40"/>
      <c r="I41" s="40"/>
      <c r="J41" s="120"/>
    </row>
    <row r="42" spans="1:10" ht="15.75" customHeight="1">
      <c r="A42" s="34" t="s">
        <v>18</v>
      </c>
      <c r="B42" s="364" t="s">
        <v>207</v>
      </c>
      <c r="C42" s="365"/>
      <c r="D42" s="129"/>
      <c r="E42" s="129"/>
      <c r="F42" s="355">
        <f>E25*1%</f>
        <v>485.0235</v>
      </c>
      <c r="G42" s="355"/>
      <c r="H42" s="63"/>
      <c r="I42" s="63"/>
      <c r="J42" s="124"/>
    </row>
    <row r="43" spans="1:9" ht="7.5" customHeight="1">
      <c r="A43" s="63"/>
      <c r="B43" s="63"/>
      <c r="C43" s="63"/>
      <c r="D43" s="63"/>
      <c r="E43" s="63"/>
      <c r="F43" s="63"/>
      <c r="G43" s="63"/>
      <c r="H43" s="63"/>
      <c r="I43" s="63"/>
    </row>
    <row r="44" spans="1:9" s="63" customFormat="1" ht="15">
      <c r="A44" s="71" t="s">
        <v>55</v>
      </c>
      <c r="B44" s="71"/>
      <c r="C44" s="131" t="s">
        <v>49</v>
      </c>
      <c r="D44" s="71"/>
      <c r="E44" s="71"/>
      <c r="F44" s="71" t="s">
        <v>93</v>
      </c>
      <c r="G44" s="71"/>
      <c r="H44" s="71"/>
      <c r="I44" s="71"/>
    </row>
    <row r="45" spans="1:7" s="63" customFormat="1" ht="15">
      <c r="A45" s="71"/>
      <c r="B45" s="71"/>
      <c r="C45" s="131"/>
      <c r="D45" s="71"/>
      <c r="E45" s="71"/>
      <c r="F45" s="132" t="s">
        <v>296</v>
      </c>
      <c r="G45" s="71"/>
    </row>
    <row r="46" spans="1:9" s="71" customFormat="1" ht="15">
      <c r="A46" s="71" t="s">
        <v>50</v>
      </c>
      <c r="C46" s="131"/>
      <c r="H46" s="164"/>
      <c r="I46" s="164"/>
    </row>
    <row r="47" spans="1:7" s="63" customFormat="1" ht="15">
      <c r="A47" s="71"/>
      <c r="B47" s="71"/>
      <c r="C47" s="133" t="s">
        <v>51</v>
      </c>
      <c r="D47" s="71"/>
      <c r="E47" s="134"/>
      <c r="F47" s="134"/>
      <c r="G47" s="134"/>
    </row>
    <row r="48" s="63" customFormat="1" ht="12.75"/>
    <row r="49" s="63" customFormat="1" ht="12.75"/>
  </sheetData>
  <sheetProtection/>
  <mergeCells count="18">
    <mergeCell ref="A1:I1"/>
    <mergeCell ref="A2:I2"/>
    <mergeCell ref="A3:I3"/>
    <mergeCell ref="A5:I5"/>
    <mergeCell ref="A9:I9"/>
    <mergeCell ref="A10:I10"/>
    <mergeCell ref="A11:I11"/>
    <mergeCell ref="A12:C12"/>
    <mergeCell ref="A33:C33"/>
    <mergeCell ref="B39:C39"/>
    <mergeCell ref="F39:G39"/>
    <mergeCell ref="A37:G37"/>
    <mergeCell ref="B40:C40"/>
    <mergeCell ref="F40:G40"/>
    <mergeCell ref="B41:C41"/>
    <mergeCell ref="F41:G41"/>
    <mergeCell ref="B42:C42"/>
    <mergeCell ref="F42:G4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25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6.8515625" style="35" customWidth="1"/>
    <col min="3" max="3" width="13.57421875" style="35" customWidth="1"/>
    <col min="4" max="5" width="13.140625" style="35" bestFit="1" customWidth="1"/>
    <col min="6" max="6" width="14.140625" style="35" customWidth="1"/>
    <col min="7" max="7" width="13.57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6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7.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5.75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6" ht="8.25" customHeight="1"/>
    <row r="7" spans="1:6" s="71" customFormat="1" ht="16.5" customHeight="1">
      <c r="A7" s="71" t="s">
        <v>2</v>
      </c>
      <c r="F7" s="132" t="s">
        <v>124</v>
      </c>
    </row>
    <row r="8" spans="1:6" s="71" customFormat="1" ht="15">
      <c r="A8" s="71" t="s">
        <v>3</v>
      </c>
      <c r="F8" s="132" t="s">
        <v>297</v>
      </c>
    </row>
    <row r="9" s="71" customFormat="1" ht="7.5" customHeight="1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516606.02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'[1]Социалистическая 3'!$G$37</f>
        <v>-696021.4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'[1]Социалистическая 3'!$G$38</f>
        <v>-53274.207099999985</v>
      </c>
      <c r="H16" s="66"/>
      <c r="I16" s="66"/>
    </row>
    <row r="17" s="71" customFormat="1" ht="6.75" customHeight="1"/>
    <row r="18" spans="1:8" s="78" customFormat="1" ht="5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  <c r="H18" s="76" t="s">
        <v>212</v>
      </c>
    </row>
    <row r="19" spans="1:8" s="175" customFormat="1" ht="28.5">
      <c r="A19" s="79" t="s">
        <v>14</v>
      </c>
      <c r="B19" s="41" t="s">
        <v>15</v>
      </c>
      <c r="C19" s="141">
        <f>C20+C21+C22+C23</f>
        <v>9.53</v>
      </c>
      <c r="D19" s="80">
        <v>464165.76</v>
      </c>
      <c r="E19" s="80">
        <v>438206.73</v>
      </c>
      <c r="F19" s="80">
        <f>D19</f>
        <v>464165.76</v>
      </c>
      <c r="G19" s="81">
        <f aca="true" t="shared" si="0" ref="G19:G28">E19-D19</f>
        <v>-25959.030000000028</v>
      </c>
      <c r="H19" s="174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162677.19185729275</v>
      </c>
      <c r="E20" s="87">
        <f>E19*I20</f>
        <v>153579.27368310597</v>
      </c>
      <c r="F20" s="87">
        <f>D20</f>
        <v>162677.19185729275</v>
      </c>
      <c r="G20" s="88">
        <f t="shared" si="0"/>
        <v>-9097.91817418678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79390.36608604407</v>
      </c>
      <c r="E21" s="87">
        <f>E19*I21</f>
        <v>74950.36410283316</v>
      </c>
      <c r="F21" s="87">
        <f>D21</f>
        <v>79390.36608604407</v>
      </c>
      <c r="G21" s="88">
        <f t="shared" si="0"/>
        <v>-4440.00198321091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f>2.12-0.49</f>
        <v>1.6300000000000001</v>
      </c>
      <c r="D22" s="87">
        <f>D19*I22</f>
        <v>79390.36608604407</v>
      </c>
      <c r="E22" s="87">
        <f>E19*I22</f>
        <v>74950.36410283316</v>
      </c>
      <c r="F22" s="87">
        <f>D22</f>
        <v>79390.36608604407</v>
      </c>
      <c r="G22" s="88">
        <f t="shared" si="0"/>
        <v>-4440.00198321091</v>
      </c>
      <c r="H22" s="152">
        <f>C22</f>
        <v>1.6300000000000001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142707.8359706191</v>
      </c>
      <c r="E23" s="87">
        <f>E19*I23</f>
        <v>134726.7281112277</v>
      </c>
      <c r="F23" s="87">
        <f>D23</f>
        <v>142707.8359706191</v>
      </c>
      <c r="G23" s="88">
        <f t="shared" si="0"/>
        <v>-7981.107859391399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26</v>
      </c>
      <c r="C24" s="101">
        <v>0</v>
      </c>
      <c r="D24" s="81">
        <v>0</v>
      </c>
      <c r="E24" s="81">
        <v>0</v>
      </c>
      <c r="F24" s="80">
        <f aca="true" t="shared" si="1" ref="F24:F33">D24</f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170</v>
      </c>
      <c r="C26" s="147">
        <v>1902.11</v>
      </c>
      <c r="D26" s="81"/>
      <c r="E26" s="81"/>
      <c r="F26" s="80">
        <f t="shared" si="1"/>
        <v>0</v>
      </c>
      <c r="G26" s="81">
        <f t="shared" si="0"/>
        <v>0</v>
      </c>
    </row>
    <row r="27" spans="1:7" s="39" customFormat="1" ht="14.25">
      <c r="A27" s="41" t="s">
        <v>31</v>
      </c>
      <c r="B27" s="146" t="s">
        <v>119</v>
      </c>
      <c r="C27" s="101">
        <v>3</v>
      </c>
      <c r="D27" s="81">
        <v>128077.2</v>
      </c>
      <c r="E27" s="81">
        <v>122482.36</v>
      </c>
      <c r="F27" s="80">
        <f>F43</f>
        <v>679659.6936</v>
      </c>
      <c r="G27" s="81">
        <f t="shared" si="0"/>
        <v>-5594.8399999999965</v>
      </c>
    </row>
    <row r="28" spans="1:7" s="39" customFormat="1" ht="14.25">
      <c r="A28" s="41" t="s">
        <v>33</v>
      </c>
      <c r="B28" s="140" t="s">
        <v>34</v>
      </c>
      <c r="C28" s="46">
        <v>0</v>
      </c>
      <c r="D28" s="81">
        <v>0</v>
      </c>
      <c r="E28" s="81">
        <v>449.91</v>
      </c>
      <c r="F28" s="80">
        <f>D28</f>
        <v>0</v>
      </c>
      <c r="G28" s="81">
        <f t="shared" si="0"/>
        <v>449.91</v>
      </c>
    </row>
    <row r="29" spans="1:7" s="39" customFormat="1" ht="14.25">
      <c r="A29" s="41" t="s">
        <v>35</v>
      </c>
      <c r="B29" s="140" t="s">
        <v>36</v>
      </c>
      <c r="C29" s="101"/>
      <c r="D29" s="81">
        <f>SUM(D30:D33)</f>
        <v>1362931.81</v>
      </c>
      <c r="E29" s="81">
        <f>SUM(E30:E33)</f>
        <v>1319459.08</v>
      </c>
      <c r="F29" s="80">
        <f t="shared" si="1"/>
        <v>1362931.81</v>
      </c>
      <c r="G29" s="81">
        <f>SUM(G30:G33)</f>
        <v>-43472.72999999991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25761.55</v>
      </c>
      <c r="E30" s="88">
        <v>24154.22</v>
      </c>
      <c r="F30" s="87">
        <f>D30</f>
        <v>25761.55</v>
      </c>
      <c r="G30" s="88">
        <f>E30-D30</f>
        <v>-1607.329999999998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559564.82</v>
      </c>
      <c r="E31" s="88">
        <v>544791.7</v>
      </c>
      <c r="F31" s="87">
        <f t="shared" si="1"/>
        <v>559564.82</v>
      </c>
      <c r="G31" s="88">
        <f>E31-D31</f>
        <v>-14773.119999999995</v>
      </c>
    </row>
    <row r="32" spans="1:7" ht="15">
      <c r="A32" s="34" t="s">
        <v>42</v>
      </c>
      <c r="B32" s="34" t="s">
        <v>143</v>
      </c>
      <c r="C32" s="149">
        <v>0</v>
      </c>
      <c r="D32" s="88">
        <v>0</v>
      </c>
      <c r="E32" s="88">
        <v>0</v>
      </c>
      <c r="F32" s="87">
        <f t="shared" si="1"/>
        <v>0</v>
      </c>
      <c r="G32" s="88">
        <f>E32-D32</f>
        <v>0</v>
      </c>
    </row>
    <row r="33" spans="1:7" ht="15">
      <c r="A33" s="34" t="s">
        <v>41</v>
      </c>
      <c r="B33" s="34" t="s">
        <v>43</v>
      </c>
      <c r="C33" s="103" t="s">
        <v>301</v>
      </c>
      <c r="D33" s="88">
        <v>777605.44</v>
      </c>
      <c r="E33" s="88">
        <v>750513.16</v>
      </c>
      <c r="F33" s="87">
        <f t="shared" si="1"/>
        <v>777605.44</v>
      </c>
      <c r="G33" s="88">
        <f>E33-D33</f>
        <v>-27092.27999999991</v>
      </c>
    </row>
    <row r="34" spans="1:10" s="106" customFormat="1" ht="15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19" t="s">
        <v>420</v>
      </c>
      <c r="B35" s="320"/>
      <c r="C35" s="320"/>
      <c r="D35" s="69">
        <f>D13+D19+D24+D25+D26+D27+D28+D29-E19-E24-E25-E26-E27-E28-E29</f>
        <v>591182.71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-695571.49</v>
      </c>
      <c r="H37" s="66"/>
      <c r="I37" s="66"/>
    </row>
    <row r="38" spans="1:13" s="71" customFormat="1" ht="15.75" thickBot="1">
      <c r="A38" s="67" t="s">
        <v>558</v>
      </c>
      <c r="B38" s="68"/>
      <c r="C38" s="68"/>
      <c r="D38" s="73"/>
      <c r="E38" s="74"/>
      <c r="F38" s="74"/>
      <c r="G38" s="151">
        <f>E27+G16-F27</f>
        <v>-610451.5407</v>
      </c>
      <c r="H38" s="66"/>
      <c r="I38" s="66"/>
      <c r="M38" s="152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ht="25.5" customHeight="1">
      <c r="A40" s="321" t="s">
        <v>44</v>
      </c>
      <c r="B40" s="321"/>
      <c r="C40" s="321"/>
      <c r="D40" s="321"/>
      <c r="E40" s="321"/>
      <c r="F40" s="321"/>
      <c r="G40" s="321"/>
      <c r="H40" s="321"/>
      <c r="I40" s="321"/>
    </row>
    <row r="41" ht="8.25" customHeight="1"/>
    <row r="42" spans="1:7" s="179" customFormat="1" ht="28.5" customHeight="1">
      <c r="A42" s="109" t="s">
        <v>11</v>
      </c>
      <c r="B42" s="188" t="s">
        <v>45</v>
      </c>
      <c r="C42" s="189"/>
      <c r="D42" s="109" t="s">
        <v>172</v>
      </c>
      <c r="E42" s="109" t="s">
        <v>171</v>
      </c>
      <c r="F42" s="340" t="s">
        <v>46</v>
      </c>
      <c r="G42" s="351"/>
    </row>
    <row r="43" spans="1:7" s="119" customFormat="1" ht="13.5" customHeight="1">
      <c r="A43" s="113" t="s">
        <v>47</v>
      </c>
      <c r="B43" s="342" t="s">
        <v>114</v>
      </c>
      <c r="C43" s="345"/>
      <c r="D43" s="180"/>
      <c r="E43" s="180"/>
      <c r="F43" s="360">
        <f>SUM(F44:G47)</f>
        <v>679659.6936</v>
      </c>
      <c r="G43" s="361"/>
    </row>
    <row r="44" spans="1:7" ht="13.5" customHeight="1">
      <c r="A44" s="34" t="s">
        <v>16</v>
      </c>
      <c r="B44" s="358" t="s">
        <v>295</v>
      </c>
      <c r="C44" s="359"/>
      <c r="D44" s="158" t="s">
        <v>294</v>
      </c>
      <c r="E44" s="197">
        <v>800</v>
      </c>
      <c r="F44" s="357">
        <v>8208</v>
      </c>
      <c r="G44" s="357"/>
    </row>
    <row r="45" spans="1:7" ht="13.5" customHeight="1">
      <c r="A45" s="34" t="s">
        <v>18</v>
      </c>
      <c r="B45" s="325" t="s">
        <v>663</v>
      </c>
      <c r="C45" s="350"/>
      <c r="D45" s="158"/>
      <c r="E45" s="159" t="s">
        <v>286</v>
      </c>
      <c r="F45" s="344">
        <v>11200</v>
      </c>
      <c r="G45" s="344"/>
    </row>
    <row r="46" spans="1:7" ht="13.5" customHeight="1">
      <c r="A46" s="34" t="s">
        <v>20</v>
      </c>
      <c r="B46" s="325" t="s">
        <v>763</v>
      </c>
      <c r="C46" s="350"/>
      <c r="D46" s="158"/>
      <c r="E46" s="159"/>
      <c r="F46" s="344">
        <v>659026.87</v>
      </c>
      <c r="G46" s="344"/>
    </row>
    <row r="47" spans="1:7" ht="13.5" customHeight="1">
      <c r="A47" s="34" t="s">
        <v>22</v>
      </c>
      <c r="B47" s="358" t="s">
        <v>207</v>
      </c>
      <c r="C47" s="359"/>
      <c r="D47" s="158"/>
      <c r="E47" s="197"/>
      <c r="F47" s="357">
        <f>E27*1%</f>
        <v>1224.8236</v>
      </c>
      <c r="G47" s="357"/>
    </row>
    <row r="48" spans="1:7" s="71" customFormat="1" ht="15">
      <c r="A48" s="176"/>
      <c r="B48" s="198"/>
      <c r="C48" s="198"/>
      <c r="D48" s="199"/>
      <c r="E48" s="200"/>
      <c r="F48" s="201"/>
      <c r="G48" s="201"/>
    </row>
    <row r="49" spans="1:6" s="71" customFormat="1" ht="15">
      <c r="A49" s="71" t="s">
        <v>55</v>
      </c>
      <c r="C49" s="71" t="s">
        <v>49</v>
      </c>
      <c r="F49" s="71" t="s">
        <v>93</v>
      </c>
    </row>
    <row r="50" s="71" customFormat="1" ht="13.5" customHeight="1">
      <c r="F50" s="132" t="s">
        <v>296</v>
      </c>
    </row>
    <row r="51" s="71" customFormat="1" ht="15">
      <c r="A51" s="71" t="s">
        <v>50</v>
      </c>
    </row>
    <row r="52" spans="3:7" s="71" customFormat="1" ht="15">
      <c r="C52" s="134" t="s">
        <v>51</v>
      </c>
      <c r="E52" s="134"/>
      <c r="F52" s="134"/>
      <c r="G52" s="134"/>
    </row>
    <row r="53" s="71" customFormat="1" ht="15"/>
    <row r="54" s="71" customFormat="1" ht="15"/>
  </sheetData>
  <sheetProtection/>
  <mergeCells count="21">
    <mergeCell ref="F43:G43"/>
    <mergeCell ref="A12:I12"/>
    <mergeCell ref="B44:C44"/>
    <mergeCell ref="A35:C35"/>
    <mergeCell ref="B46:C46"/>
    <mergeCell ref="F46:G46"/>
    <mergeCell ref="F47:G47"/>
    <mergeCell ref="A13:C13"/>
    <mergeCell ref="B43:C43"/>
    <mergeCell ref="B47:C47"/>
    <mergeCell ref="B45:C45"/>
    <mergeCell ref="A1:I1"/>
    <mergeCell ref="A2:I2"/>
    <mergeCell ref="A5:I5"/>
    <mergeCell ref="A10:I10"/>
    <mergeCell ref="A3:K3"/>
    <mergeCell ref="F45:G45"/>
    <mergeCell ref="A11:I11"/>
    <mergeCell ref="A40:I40"/>
    <mergeCell ref="F42:G42"/>
    <mergeCell ref="F44:G44"/>
  </mergeCells>
  <printOptions/>
  <pageMargins left="0.5905511811023623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zoomScalePageLayoutView="0" workbookViewId="0" topLeftCell="A10">
      <selection activeCell="G35" sqref="G35"/>
    </sheetView>
  </sheetViews>
  <sheetFormatPr defaultColWidth="9.140625" defaultRowHeight="15" outlineLevelCol="1"/>
  <cols>
    <col min="1" max="1" width="5.421875" style="61" customWidth="1"/>
    <col min="2" max="2" width="48.57421875" style="61" customWidth="1"/>
    <col min="3" max="3" width="15.421875" style="61" customWidth="1"/>
    <col min="4" max="4" width="14.8515625" style="61" customWidth="1"/>
    <col min="5" max="5" width="13.57421875" style="61" customWidth="1"/>
    <col min="6" max="6" width="13.003906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10.7109375" style="61" bestFit="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238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542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441" t="s">
        <v>213</v>
      </c>
      <c r="B12" s="442"/>
      <c r="C12" s="442"/>
      <c r="D12" s="51">
        <v>24028.85</v>
      </c>
      <c r="E12" s="70"/>
      <c r="F12" s="70"/>
      <c r="G12" s="70"/>
      <c r="H12" s="66"/>
      <c r="I12" s="66"/>
    </row>
    <row r="13" spans="1:9" s="71" customFormat="1" ht="6" customHeight="1" thickBot="1">
      <c r="A13" s="277"/>
      <c r="B13" s="277"/>
      <c r="C13" s="277"/>
      <c r="D13" s="40"/>
      <c r="E13" s="70"/>
      <c r="F13" s="70"/>
      <c r="G13" s="70"/>
      <c r="H13" s="66"/>
      <c r="I13" s="66"/>
    </row>
    <row r="14" spans="1:9" s="71" customFormat="1" ht="15.75" thickBot="1">
      <c r="A14" s="278" t="s">
        <v>514</v>
      </c>
      <c r="B14" s="279"/>
      <c r="C14" s="279"/>
      <c r="D14" s="280"/>
      <c r="E14" s="74"/>
      <c r="F14" s="74"/>
      <c r="G14" s="69">
        <f>'[1]Нефтебаза 2'!$G$35</f>
        <v>-33705.85770000001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540</v>
      </c>
    </row>
    <row r="17" spans="1:16" s="63" customFormat="1" ht="14.25">
      <c r="A17" s="79" t="s">
        <v>14</v>
      </c>
      <c r="B17" s="41" t="s">
        <v>15</v>
      </c>
      <c r="C17" s="141">
        <f>C18+C19+C20+C21</f>
        <v>9.53</v>
      </c>
      <c r="D17" s="80">
        <v>73259.35</v>
      </c>
      <c r="E17" s="80">
        <v>55039.35</v>
      </c>
      <c r="F17" s="80">
        <f>D17</f>
        <v>73259.35</v>
      </c>
      <c r="G17" s="81">
        <f>E17-D17</f>
        <v>-18220.000000000007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25675.365057712486</v>
      </c>
      <c r="E18" s="87">
        <f>E17*I18</f>
        <v>19289.761699895065</v>
      </c>
      <c r="F18" s="87">
        <f>D18</f>
        <v>25675.365057712486</v>
      </c>
      <c r="G18" s="88">
        <f aca="true" t="shared" si="0" ref="G18:G26">E18-D18</f>
        <v>-6385.603357817421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12530.193126967473</v>
      </c>
      <c r="E19" s="87">
        <f>E17*I19</f>
        <v>9413.865739769151</v>
      </c>
      <c r="F19" s="87">
        <f>D19</f>
        <v>12530.193126967473</v>
      </c>
      <c r="G19" s="88">
        <f t="shared" si="0"/>
        <v>-3116.327387198322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12530.193126967473</v>
      </c>
      <c r="E20" s="87">
        <f>E17*I20</f>
        <v>9413.865739769151</v>
      </c>
      <c r="F20" s="87">
        <f>D20</f>
        <v>12530.193126967473</v>
      </c>
      <c r="G20" s="88">
        <f t="shared" si="0"/>
        <v>-3116.327387198322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22523.598688352577</v>
      </c>
      <c r="E21" s="87">
        <f>E17*I21</f>
        <v>16921.856820566634</v>
      </c>
      <c r="F21" s="87">
        <f>D21</f>
        <v>22523.598688352577</v>
      </c>
      <c r="G21" s="88">
        <f t="shared" si="0"/>
        <v>-5601.741867785942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231</v>
      </c>
      <c r="C22" s="101">
        <v>22.3</v>
      </c>
      <c r="D22" s="91">
        <v>227643.8</v>
      </c>
      <c r="E22" s="91">
        <v>173243.95</v>
      </c>
      <c r="F22" s="91">
        <f>F43</f>
        <v>200000</v>
      </c>
      <c r="G22" s="91">
        <f t="shared" si="0"/>
        <v>-54399.84999999998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4" s="93" customFormat="1" ht="14.25">
      <c r="A25" s="90" t="s">
        <v>31</v>
      </c>
      <c r="B25" s="90" t="s">
        <v>119</v>
      </c>
      <c r="C25" s="91">
        <v>3</v>
      </c>
      <c r="D25" s="91">
        <v>22313.16</v>
      </c>
      <c r="E25" s="91">
        <v>17349.29</v>
      </c>
      <c r="F25" s="91">
        <f>F40-F22</f>
        <v>31500.492900000012</v>
      </c>
      <c r="G25" s="91">
        <f>E25-D25</f>
        <v>-4963.869999999999</v>
      </c>
      <c r="H25" s="92"/>
      <c r="I25" s="92"/>
      <c r="J25" s="92"/>
      <c r="K25" s="92"/>
      <c r="N25" s="281"/>
    </row>
    <row r="26" spans="1:11" ht="14.25">
      <c r="A26" s="41" t="s">
        <v>33</v>
      </c>
      <c r="B26" s="41" t="s">
        <v>170</v>
      </c>
      <c r="C26" s="81" t="s">
        <v>314</v>
      </c>
      <c r="D26" s="81"/>
      <c r="E26" s="81"/>
      <c r="F26" s="91">
        <f>D26</f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91592.38</v>
      </c>
      <c r="E27" s="81">
        <f>SUM(E28:E31)</f>
        <v>69500.38</v>
      </c>
      <c r="F27" s="81">
        <f>SUM(F28:F31)</f>
        <v>91592.38</v>
      </c>
      <c r="G27" s="81">
        <f>SUM(G28:G31)</f>
        <v>-22092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/>
      <c r="D28" s="88">
        <v>0</v>
      </c>
      <c r="E28" s="88">
        <v>0</v>
      </c>
      <c r="F28" s="88">
        <f>D28</f>
        <v>0</v>
      </c>
      <c r="G28" s="88">
        <f>E28-D28</f>
        <v>0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91592.38</v>
      </c>
      <c r="E29" s="88">
        <v>69500.38</v>
      </c>
      <c r="F29" s="88">
        <f>D29</f>
        <v>91592.38</v>
      </c>
      <c r="G29" s="88">
        <f>E29-D29</f>
        <v>-22092</v>
      </c>
    </row>
    <row r="30" spans="1:7" ht="15">
      <c r="A30" s="34" t="s">
        <v>42</v>
      </c>
      <c r="B30" s="34" t="s">
        <v>143</v>
      </c>
      <c r="C30" s="149">
        <v>0</v>
      </c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/>
      <c r="D31" s="88">
        <v>0</v>
      </c>
      <c r="E31" s="88">
        <v>0</v>
      </c>
      <c r="F31" s="88">
        <f>D31</f>
        <v>0</v>
      </c>
      <c r="G31" s="88">
        <f>E31-D31</f>
        <v>0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123704.56999999998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4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G14+E22+E25-F22-F25</f>
        <v>-74613.11059999999</v>
      </c>
      <c r="H35" s="66"/>
      <c r="I35" s="66"/>
      <c r="N35" s="152"/>
    </row>
    <row r="36" spans="1:11" s="71" customFormat="1" ht="1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</row>
    <row r="37" spans="1:13" s="106" customFormat="1" ht="29.2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105"/>
      <c r="M37" s="105"/>
    </row>
    <row r="39" spans="1:11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4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SUM(F41:G45)</f>
        <v>231500.4929</v>
      </c>
      <c r="G40" s="351"/>
      <c r="H40" s="270"/>
      <c r="I40" s="271"/>
      <c r="J40" s="119"/>
      <c r="K40" s="119"/>
      <c r="N40" s="112"/>
    </row>
    <row r="41" spans="1:14" s="119" customFormat="1" ht="27" customHeight="1">
      <c r="A41" s="34" t="s">
        <v>16</v>
      </c>
      <c r="B41" s="325" t="s">
        <v>543</v>
      </c>
      <c r="C41" s="327"/>
      <c r="D41" s="123" t="s">
        <v>173</v>
      </c>
      <c r="E41" s="123">
        <v>1</v>
      </c>
      <c r="F41" s="366">
        <v>10000</v>
      </c>
      <c r="G41" s="367"/>
      <c r="H41" s="272"/>
      <c r="I41" s="273"/>
      <c r="J41" s="61"/>
      <c r="K41" s="61"/>
      <c r="N41" s="120"/>
    </row>
    <row r="42" spans="1:14" s="119" customFormat="1" ht="20.25" customHeight="1">
      <c r="A42" s="34" t="s">
        <v>18</v>
      </c>
      <c r="B42" s="325" t="s">
        <v>544</v>
      </c>
      <c r="C42" s="327"/>
      <c r="D42" s="123" t="s">
        <v>352</v>
      </c>
      <c r="E42" s="123">
        <v>0.23</v>
      </c>
      <c r="F42" s="366">
        <v>19647</v>
      </c>
      <c r="G42" s="367"/>
      <c r="H42" s="40"/>
      <c r="I42" s="40"/>
      <c r="J42" s="61"/>
      <c r="K42" s="61"/>
      <c r="N42" s="120"/>
    </row>
    <row r="43" spans="1:14" s="119" customFormat="1" ht="15" customHeight="1">
      <c r="A43" s="34" t="s">
        <v>20</v>
      </c>
      <c r="B43" s="325" t="s">
        <v>185</v>
      </c>
      <c r="C43" s="327"/>
      <c r="D43" s="123" t="s">
        <v>173</v>
      </c>
      <c r="E43" s="123">
        <v>1</v>
      </c>
      <c r="F43" s="366">
        <v>200000</v>
      </c>
      <c r="G43" s="367"/>
      <c r="H43" s="40"/>
      <c r="I43" s="40"/>
      <c r="J43" s="61"/>
      <c r="K43" s="61"/>
      <c r="N43" s="120"/>
    </row>
    <row r="44" spans="1:14" s="119" customFormat="1" ht="15" customHeight="1">
      <c r="A44" s="276" t="s">
        <v>22</v>
      </c>
      <c r="B44" s="325" t="s">
        <v>663</v>
      </c>
      <c r="C44" s="350"/>
      <c r="D44" s="123"/>
      <c r="E44" s="159" t="s">
        <v>286</v>
      </c>
      <c r="F44" s="355">
        <v>1680</v>
      </c>
      <c r="G44" s="355"/>
      <c r="H44" s="40"/>
      <c r="I44" s="40"/>
      <c r="J44" s="61"/>
      <c r="K44" s="61"/>
      <c r="N44" s="120"/>
    </row>
    <row r="45" spans="1:14" ht="15.75" customHeight="1">
      <c r="A45" s="276" t="s">
        <v>24</v>
      </c>
      <c r="B45" s="364" t="s">
        <v>207</v>
      </c>
      <c r="C45" s="365"/>
      <c r="D45" s="129"/>
      <c r="E45" s="129"/>
      <c r="F45" s="355">
        <f>E25*1%</f>
        <v>173.49290000000002</v>
      </c>
      <c r="G45" s="355"/>
      <c r="H45" s="63"/>
      <c r="I45" s="63"/>
      <c r="J45" s="63"/>
      <c r="K45" s="63"/>
      <c r="N45" s="124"/>
    </row>
    <row r="46" spans="1:11" ht="7.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s="63" customFormat="1" ht="15">
      <c r="A47" s="71" t="s">
        <v>55</v>
      </c>
      <c r="B47" s="71"/>
      <c r="C47" s="131" t="s">
        <v>49</v>
      </c>
      <c r="D47" s="71"/>
      <c r="E47" s="71"/>
      <c r="F47" s="71" t="s">
        <v>93</v>
      </c>
      <c r="G47" s="71"/>
      <c r="H47" s="71"/>
      <c r="I47" s="71"/>
      <c r="J47" s="71"/>
      <c r="K47" s="71"/>
    </row>
    <row r="48" spans="1:7" s="63" customFormat="1" ht="15">
      <c r="A48" s="71"/>
      <c r="B48" s="71"/>
      <c r="C48" s="131"/>
      <c r="D48" s="71"/>
      <c r="E48" s="71"/>
      <c r="F48" s="132" t="s">
        <v>296</v>
      </c>
      <c r="G48" s="71"/>
    </row>
    <row r="49" spans="1:11" s="71" customFormat="1" ht="15">
      <c r="A49" s="71" t="s">
        <v>50</v>
      </c>
      <c r="C49" s="131"/>
      <c r="H49" s="164"/>
      <c r="I49" s="164"/>
      <c r="J49" s="164"/>
      <c r="K49" s="63"/>
    </row>
    <row r="50" spans="1:7" s="63" customFormat="1" ht="15">
      <c r="A50" s="71"/>
      <c r="B50" s="71"/>
      <c r="C50" s="133" t="s">
        <v>51</v>
      </c>
      <c r="D50" s="71"/>
      <c r="E50" s="134"/>
      <c r="F50" s="134"/>
      <c r="G50" s="134"/>
    </row>
    <row r="51" s="63" customFormat="1" ht="12.75"/>
    <row r="52" s="63" customFormat="1" ht="12.75"/>
  </sheetData>
  <sheetProtection/>
  <mergeCells count="24">
    <mergeCell ref="A11:K11"/>
    <mergeCell ref="A12:C12"/>
    <mergeCell ref="A1:K1"/>
    <mergeCell ref="A2:K2"/>
    <mergeCell ref="A3:K3"/>
    <mergeCell ref="A5:K5"/>
    <mergeCell ref="A9:K9"/>
    <mergeCell ref="A10:K10"/>
    <mergeCell ref="A33:C33"/>
    <mergeCell ref="A37:K37"/>
    <mergeCell ref="B39:C39"/>
    <mergeCell ref="F39:G39"/>
    <mergeCell ref="B40:C40"/>
    <mergeCell ref="F40:G40"/>
    <mergeCell ref="B41:C41"/>
    <mergeCell ref="F41:G41"/>
    <mergeCell ref="B45:C45"/>
    <mergeCell ref="F45:G45"/>
    <mergeCell ref="B43:C43"/>
    <mergeCell ref="F43:G43"/>
    <mergeCell ref="B42:C42"/>
    <mergeCell ref="F42:G42"/>
    <mergeCell ref="B44:C44"/>
    <mergeCell ref="F44:G44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7030A0"/>
  </sheetPr>
  <dimension ref="A1:P50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5.421875" style="61" customWidth="1"/>
    <col min="2" max="2" width="48.57421875" style="61" customWidth="1"/>
    <col min="3" max="3" width="15.421875" style="61" customWidth="1"/>
    <col min="4" max="4" width="14.8515625" style="61" customWidth="1"/>
    <col min="5" max="5" width="13.57421875" style="61" customWidth="1"/>
    <col min="6" max="6" width="13.003906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10.00390625" style="61" bestFit="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162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163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119317.39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'[1]Нефтебаза 3'!$G$35</f>
        <v>153182.81759999998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540</v>
      </c>
    </row>
    <row r="17" spans="1:16" s="63" customFormat="1" ht="14.25">
      <c r="A17" s="79" t="s">
        <v>14</v>
      </c>
      <c r="B17" s="41" t="s">
        <v>15</v>
      </c>
      <c r="C17" s="141">
        <f>C18+C19+C20+C21</f>
        <v>9.53</v>
      </c>
      <c r="D17" s="80">
        <v>218075.9</v>
      </c>
      <c r="E17" s="80">
        <v>213704.7</v>
      </c>
      <c r="F17" s="80">
        <f>D17</f>
        <v>218075.9</v>
      </c>
      <c r="G17" s="81">
        <f>E17-D17</f>
        <v>-4371.1999999999825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76429.53892969569</v>
      </c>
      <c r="E18" s="87">
        <f>E17*I18</f>
        <v>74897.55487932844</v>
      </c>
      <c r="F18" s="87">
        <f>D18</f>
        <v>76429.53892969569</v>
      </c>
      <c r="G18" s="88">
        <f aca="true" t="shared" si="0" ref="G18:G26">E18-D18</f>
        <v>-1531.9840503672458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37299.44564533054</v>
      </c>
      <c r="E19" s="87">
        <f>E17*I19</f>
        <v>36551.80073452256</v>
      </c>
      <c r="F19" s="87">
        <f>D19</f>
        <v>37299.44564533054</v>
      </c>
      <c r="G19" s="88">
        <f t="shared" si="0"/>
        <v>-747.644910807976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37299.44564533054</v>
      </c>
      <c r="E20" s="87">
        <f>E17*I20</f>
        <v>36551.80073452256</v>
      </c>
      <c r="F20" s="87">
        <f>D20</f>
        <v>37299.44564533054</v>
      </c>
      <c r="G20" s="88">
        <f t="shared" si="0"/>
        <v>-747.644910807976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67047.46977964324</v>
      </c>
      <c r="E21" s="87">
        <f>E17*I21</f>
        <v>65703.54365162646</v>
      </c>
      <c r="F21" s="87">
        <f>D21</f>
        <v>67047.46977964324</v>
      </c>
      <c r="G21" s="88">
        <f t="shared" si="0"/>
        <v>-1343.9261280167848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/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1">
        <v>10</v>
      </c>
      <c r="D25" s="91">
        <v>214560</v>
      </c>
      <c r="E25" s="91">
        <v>220122.82</v>
      </c>
      <c r="F25" s="91">
        <f>F40</f>
        <v>22038.128200000003</v>
      </c>
      <c r="G25" s="91">
        <f>E25-D25</f>
        <v>5562.820000000007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 t="s">
        <v>314</v>
      </c>
      <c r="D26" s="81"/>
      <c r="E26" s="81"/>
      <c r="F26" s="91">
        <f>D26</f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846468.28</v>
      </c>
      <c r="E27" s="81">
        <f>SUM(E28:E31)</f>
        <v>889754.3700000001</v>
      </c>
      <c r="F27" s="81">
        <f>SUM(F28:F31)</f>
        <v>846468.28</v>
      </c>
      <c r="G27" s="81">
        <f>SUM(G28:G31)</f>
        <v>43286.09000000003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39790.94</v>
      </c>
      <c r="E28" s="88">
        <v>37717.12</v>
      </c>
      <c r="F28" s="88">
        <f>D28</f>
        <v>39790.94</v>
      </c>
      <c r="G28" s="88">
        <f>E28-D28</f>
        <v>-2073.8199999999997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267922.54</v>
      </c>
      <c r="E29" s="88">
        <v>293899.21</v>
      </c>
      <c r="F29" s="88">
        <f>D29</f>
        <v>267922.54</v>
      </c>
      <c r="G29" s="88">
        <f>E29-D29</f>
        <v>25976.670000000042</v>
      </c>
    </row>
    <row r="30" spans="1:7" ht="15">
      <c r="A30" s="34" t="s">
        <v>42</v>
      </c>
      <c r="B30" s="34" t="s">
        <v>143</v>
      </c>
      <c r="C30" s="149">
        <v>0</v>
      </c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383</v>
      </c>
      <c r="D31" s="88">
        <v>538754.8</v>
      </c>
      <c r="E31" s="88">
        <v>558138.04</v>
      </c>
      <c r="F31" s="88">
        <f>D31</f>
        <v>538754.8</v>
      </c>
      <c r="G31" s="88">
        <f>E31-D31</f>
        <v>19383.23999999999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D12+D17+D23+D24+D25+D26+D27-E17-E23-E24-E25-E26-E27</f>
        <v>74839.67999999993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4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351267.50940000004</v>
      </c>
      <c r="H35" s="66"/>
      <c r="I35" s="66"/>
      <c r="N35" s="152"/>
    </row>
    <row r="36" spans="1:11" s="71" customFormat="1" ht="1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</row>
    <row r="37" spans="1:13" s="106" customFormat="1" ht="29.25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105"/>
      <c r="M37" s="105"/>
    </row>
    <row r="39" spans="1:11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4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SUM(F41:G45)</f>
        <v>22038.128200000003</v>
      </c>
      <c r="G40" s="351"/>
      <c r="H40" s="270"/>
      <c r="I40" s="271"/>
      <c r="J40" s="119"/>
      <c r="K40" s="119"/>
      <c r="N40" s="112"/>
    </row>
    <row r="41" spans="1:14" s="119" customFormat="1" ht="15" customHeight="1">
      <c r="A41" s="34" t="s">
        <v>16</v>
      </c>
      <c r="B41" s="325" t="s">
        <v>169</v>
      </c>
      <c r="C41" s="327"/>
      <c r="D41" s="123" t="s">
        <v>177</v>
      </c>
      <c r="E41" s="123">
        <v>380</v>
      </c>
      <c r="F41" s="366">
        <v>4656.9</v>
      </c>
      <c r="G41" s="367"/>
      <c r="H41" s="272"/>
      <c r="I41" s="273"/>
      <c r="J41" s="61"/>
      <c r="K41" s="61"/>
      <c r="N41" s="120"/>
    </row>
    <row r="42" spans="1:14" s="119" customFormat="1" ht="15" customHeight="1">
      <c r="A42" s="34" t="s">
        <v>18</v>
      </c>
      <c r="B42" s="325" t="s">
        <v>545</v>
      </c>
      <c r="C42" s="327"/>
      <c r="D42" s="123" t="s">
        <v>265</v>
      </c>
      <c r="E42" s="123">
        <v>0.01</v>
      </c>
      <c r="F42" s="366">
        <v>1143</v>
      </c>
      <c r="G42" s="367"/>
      <c r="H42" s="40"/>
      <c r="I42" s="40"/>
      <c r="J42" s="61"/>
      <c r="K42" s="61"/>
      <c r="N42" s="120"/>
    </row>
    <row r="43" spans="1:14" s="119" customFormat="1" ht="15" customHeight="1">
      <c r="A43" s="34" t="s">
        <v>20</v>
      </c>
      <c r="B43" s="325" t="s">
        <v>546</v>
      </c>
      <c r="C43" s="327"/>
      <c r="D43" s="123" t="s">
        <v>265</v>
      </c>
      <c r="E43" s="126">
        <v>0.068</v>
      </c>
      <c r="F43" s="366">
        <v>8437</v>
      </c>
      <c r="G43" s="367"/>
      <c r="H43" s="40"/>
      <c r="I43" s="40"/>
      <c r="J43" s="61"/>
      <c r="K43" s="61"/>
      <c r="N43" s="120"/>
    </row>
    <row r="44" spans="1:14" s="119" customFormat="1" ht="15" customHeight="1">
      <c r="A44" s="34" t="s">
        <v>22</v>
      </c>
      <c r="B44" s="325" t="s">
        <v>663</v>
      </c>
      <c r="C44" s="350"/>
      <c r="D44" s="123"/>
      <c r="E44" s="159" t="s">
        <v>286</v>
      </c>
      <c r="F44" s="355">
        <v>5600</v>
      </c>
      <c r="G44" s="355"/>
      <c r="H44" s="40"/>
      <c r="I44" s="40"/>
      <c r="J44" s="61"/>
      <c r="K44" s="61"/>
      <c r="N44" s="120"/>
    </row>
    <row r="45" spans="1:14" ht="15.75" customHeight="1">
      <c r="A45" s="34" t="s">
        <v>24</v>
      </c>
      <c r="B45" s="364" t="s">
        <v>207</v>
      </c>
      <c r="C45" s="365"/>
      <c r="D45" s="129"/>
      <c r="E45" s="129"/>
      <c r="F45" s="355">
        <f>E25*1%</f>
        <v>2201.2282</v>
      </c>
      <c r="G45" s="355"/>
      <c r="H45" s="63"/>
      <c r="I45" s="63"/>
      <c r="J45" s="63"/>
      <c r="K45" s="63"/>
      <c r="N45" s="124"/>
    </row>
    <row r="46" spans="1:11" ht="7.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s="63" customFormat="1" ht="15">
      <c r="A47" s="71" t="s">
        <v>55</v>
      </c>
      <c r="B47" s="71"/>
      <c r="C47" s="131" t="s">
        <v>49</v>
      </c>
      <c r="D47" s="71"/>
      <c r="E47" s="71"/>
      <c r="F47" s="71" t="s">
        <v>93</v>
      </c>
      <c r="G47" s="71"/>
      <c r="H47" s="71"/>
      <c r="I47" s="71"/>
      <c r="J47" s="71"/>
      <c r="K47" s="71"/>
    </row>
    <row r="48" spans="1:7" s="63" customFormat="1" ht="15">
      <c r="A48" s="71"/>
      <c r="B48" s="71"/>
      <c r="C48" s="131"/>
      <c r="D48" s="71"/>
      <c r="E48" s="71"/>
      <c r="F48" s="132" t="s">
        <v>296</v>
      </c>
      <c r="G48" s="71"/>
    </row>
    <row r="49" spans="1:11" s="71" customFormat="1" ht="15">
      <c r="A49" s="71" t="s">
        <v>50</v>
      </c>
      <c r="C49" s="131"/>
      <c r="H49" s="164"/>
      <c r="I49" s="164"/>
      <c r="J49" s="164"/>
      <c r="K49" s="63"/>
    </row>
    <row r="50" spans="1:7" s="63" customFormat="1" ht="15">
      <c r="A50" s="71"/>
      <c r="B50" s="71"/>
      <c r="C50" s="133" t="s">
        <v>51</v>
      </c>
      <c r="D50" s="71"/>
      <c r="E50" s="134"/>
      <c r="F50" s="134"/>
      <c r="G50" s="134"/>
    </row>
    <row r="51" s="63" customFormat="1" ht="12.75"/>
    <row r="52" s="63" customFormat="1" ht="12.75"/>
  </sheetData>
  <sheetProtection/>
  <mergeCells count="24">
    <mergeCell ref="B45:C45"/>
    <mergeCell ref="F45:G45"/>
    <mergeCell ref="B42:C42"/>
    <mergeCell ref="F42:G42"/>
    <mergeCell ref="B43:C43"/>
    <mergeCell ref="F43:G43"/>
    <mergeCell ref="B44:C44"/>
    <mergeCell ref="F44:G44"/>
    <mergeCell ref="A33:C33"/>
    <mergeCell ref="A37:K37"/>
    <mergeCell ref="B39:C39"/>
    <mergeCell ref="F39:G39"/>
    <mergeCell ref="B41:C41"/>
    <mergeCell ref="F41:G41"/>
    <mergeCell ref="B40:C40"/>
    <mergeCell ref="F40:G40"/>
    <mergeCell ref="A11:K11"/>
    <mergeCell ref="A12:C12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7030A0"/>
  </sheetPr>
  <dimension ref="A1:N47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254</v>
      </c>
      <c r="H7" s="64"/>
    </row>
    <row r="8" spans="1:8" s="63" customFormat="1" ht="12.75">
      <c r="A8" s="63" t="s">
        <v>3</v>
      </c>
      <c r="F8" s="64" t="s">
        <v>550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67579.06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'[1]Нефтебаза 4'!$G$35</f>
        <v>22942.409499999998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540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9.53</v>
      </c>
      <c r="D17" s="80">
        <v>311013.31</v>
      </c>
      <c r="E17" s="80">
        <v>291492.51</v>
      </c>
      <c r="F17" s="80">
        <f aca="true" t="shared" si="0" ref="F17:F24">D17</f>
        <v>311013.31</v>
      </c>
      <c r="G17" s="81">
        <f>E17-D17</f>
        <v>-19520.79999999999</v>
      </c>
      <c r="H17" s="82">
        <f>C17</f>
        <v>9.53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109001.51683105981</v>
      </c>
      <c r="E18" s="87">
        <f>E17*I18</f>
        <v>102160.01924449108</v>
      </c>
      <c r="F18" s="87">
        <f t="shared" si="0"/>
        <v>109001.51683105981</v>
      </c>
      <c r="G18" s="88">
        <f aca="true" t="shared" si="1" ref="G18:G26">E18-D18</f>
        <v>-6841.49758656873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53195.351028331585</v>
      </c>
      <c r="E19" s="87">
        <f>E17*I19</f>
        <v>49856.53633788038</v>
      </c>
      <c r="F19" s="87">
        <f t="shared" si="0"/>
        <v>53195.351028331585</v>
      </c>
      <c r="G19" s="88">
        <f t="shared" si="1"/>
        <v>-3338.814690451203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86">
        <v>1.63</v>
      </c>
      <c r="D20" s="87">
        <f>D17*I20</f>
        <v>53195.351028331585</v>
      </c>
      <c r="E20" s="87">
        <f>E17*I20</f>
        <v>49856.53633788038</v>
      </c>
      <c r="F20" s="87">
        <f t="shared" si="0"/>
        <v>53195.351028331585</v>
      </c>
      <c r="G20" s="88">
        <f t="shared" si="1"/>
        <v>-3338.814690451203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95621.09111227703</v>
      </c>
      <c r="E21" s="87">
        <f>E17*I21</f>
        <v>89619.41807974818</v>
      </c>
      <c r="F21" s="87">
        <f t="shared" si="0"/>
        <v>95621.09111227703</v>
      </c>
      <c r="G21" s="88">
        <f t="shared" si="1"/>
        <v>-6001.673032528852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252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231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1.8</v>
      </c>
      <c r="D25" s="91">
        <v>56324.16</v>
      </c>
      <c r="E25" s="91">
        <v>55106.58</v>
      </c>
      <c r="F25" s="91">
        <f>F39</f>
        <v>8951.0658</v>
      </c>
      <c r="G25" s="91">
        <f>E25-D25</f>
        <v>-1217.5800000000017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1902.11</v>
      </c>
      <c r="D26" s="81">
        <v>0</v>
      </c>
      <c r="E26" s="81">
        <v>0</v>
      </c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1295801.55</v>
      </c>
      <c r="E27" s="81">
        <f>SUM(E28:E31)</f>
        <v>1272536.76</v>
      </c>
      <c r="F27" s="81">
        <f>SUM(F28:F31)</f>
        <v>1295801.55</v>
      </c>
      <c r="G27" s="81">
        <f>SUM(G28:G31)</f>
        <v>-23264.79000000009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17933.88</v>
      </c>
      <c r="E28" s="88">
        <v>17255.37</v>
      </c>
      <c r="F28" s="88">
        <f>D28</f>
        <v>17933.88</v>
      </c>
      <c r="G28" s="88">
        <f>E28-D28</f>
        <v>-678.510000000002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423900.89</v>
      </c>
      <c r="E29" s="88">
        <v>422716.69</v>
      </c>
      <c r="F29" s="88">
        <f>D29</f>
        <v>423900.89</v>
      </c>
      <c r="G29" s="88">
        <f>E29-D29</f>
        <v>-1184.2000000000116</v>
      </c>
    </row>
    <row r="30" spans="1:7" ht="15">
      <c r="A30" s="34" t="s">
        <v>42</v>
      </c>
      <c r="B30" s="34" t="s">
        <v>143</v>
      </c>
      <c r="C30" s="149">
        <v>0</v>
      </c>
      <c r="D30" s="226">
        <v>0</v>
      </c>
      <c r="E30" s="226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383</v>
      </c>
      <c r="D31" s="88">
        <v>853966.78</v>
      </c>
      <c r="E31" s="88">
        <v>832564.7</v>
      </c>
      <c r="F31" s="88">
        <f>D31</f>
        <v>853966.78</v>
      </c>
      <c r="G31" s="88">
        <f>E31-D31</f>
        <v>-21402.080000000075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111582.22999999998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69097.9237</v>
      </c>
      <c r="H35" s="66"/>
      <c r="I35" s="66"/>
    </row>
    <row r="36" spans="1:11" ht="31.5" customHeight="1">
      <c r="A36" s="443" t="s">
        <v>196</v>
      </c>
      <c r="B36" s="444"/>
      <c r="C36" s="444"/>
      <c r="D36" s="444"/>
      <c r="E36" s="444"/>
      <c r="F36" s="444"/>
      <c r="G36" s="444"/>
      <c r="H36" s="62"/>
      <c r="I36" s="62"/>
      <c r="J36" s="62"/>
      <c r="K36" s="62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SUM(F40:G41)</f>
        <v>8951.0658</v>
      </c>
      <c r="G39" s="351"/>
      <c r="H39" s="270"/>
      <c r="I39" s="271"/>
      <c r="L39" s="120"/>
    </row>
    <row r="40" spans="1:12" ht="15">
      <c r="A40" s="34" t="s">
        <v>16</v>
      </c>
      <c r="B40" s="325" t="s">
        <v>663</v>
      </c>
      <c r="C40" s="350"/>
      <c r="D40" s="123"/>
      <c r="E40" s="159" t="s">
        <v>286</v>
      </c>
      <c r="F40" s="355">
        <v>8400</v>
      </c>
      <c r="G40" s="355"/>
      <c r="H40" s="272"/>
      <c r="I40" s="273"/>
      <c r="L40" s="124"/>
    </row>
    <row r="41" spans="1:11" s="71" customFormat="1" ht="15">
      <c r="A41" s="34" t="s">
        <v>18</v>
      </c>
      <c r="B41" s="364" t="s">
        <v>207</v>
      </c>
      <c r="C41" s="365"/>
      <c r="D41" s="129"/>
      <c r="E41" s="129"/>
      <c r="F41" s="355">
        <f>E25*1%</f>
        <v>551.0658000000001</v>
      </c>
      <c r="G41" s="355"/>
      <c r="H41" s="63"/>
      <c r="I41" s="63"/>
      <c r="J41" s="63"/>
      <c r="K41" s="63"/>
    </row>
    <row r="42" s="63" customFormat="1" ht="12.75"/>
    <row r="43" spans="1:10" s="63" customFormat="1" ht="15">
      <c r="A43" s="71" t="s">
        <v>55</v>
      </c>
      <c r="B43" s="71"/>
      <c r="C43" s="131" t="s">
        <v>49</v>
      </c>
      <c r="D43" s="71"/>
      <c r="E43" s="71"/>
      <c r="F43" s="71" t="s">
        <v>93</v>
      </c>
      <c r="G43" s="71"/>
      <c r="H43" s="164"/>
      <c r="I43" s="164"/>
      <c r="J43" s="164"/>
    </row>
    <row r="44" spans="1:11" ht="15">
      <c r="A44" s="71"/>
      <c r="B44" s="71"/>
      <c r="C44" s="131"/>
      <c r="D44" s="71"/>
      <c r="E44" s="71"/>
      <c r="F44" s="132" t="s">
        <v>296</v>
      </c>
      <c r="G44" s="71"/>
      <c r="H44" s="63"/>
      <c r="I44" s="63"/>
      <c r="J44" s="63"/>
      <c r="K44" s="63"/>
    </row>
    <row r="45" spans="1:11" ht="15">
      <c r="A45" s="71" t="s">
        <v>50</v>
      </c>
      <c r="B45" s="71"/>
      <c r="C45" s="131"/>
      <c r="D45" s="71"/>
      <c r="E45" s="71"/>
      <c r="F45" s="71"/>
      <c r="G45" s="71"/>
      <c r="H45" s="63"/>
      <c r="I45" s="63"/>
      <c r="J45" s="63"/>
      <c r="K45" s="63"/>
    </row>
    <row r="46" spans="1:7" ht="15">
      <c r="A46" s="71"/>
      <c r="B46" s="71"/>
      <c r="C46" s="133" t="s">
        <v>51</v>
      </c>
      <c r="D46" s="71"/>
      <c r="E46" s="134"/>
      <c r="F46" s="134"/>
      <c r="G46" s="134"/>
    </row>
    <row r="47" spans="1:7" ht="12.75">
      <c r="A47" s="63"/>
      <c r="B47" s="63"/>
      <c r="C47" s="63"/>
      <c r="D47" s="63"/>
      <c r="E47" s="63"/>
      <c r="F47" s="63"/>
      <c r="G47" s="63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B38:C38"/>
    <mergeCell ref="F38:G38"/>
    <mergeCell ref="A36:G36"/>
    <mergeCell ref="B41:C41"/>
    <mergeCell ref="F41:G41"/>
    <mergeCell ref="B39:C39"/>
    <mergeCell ref="F39:G39"/>
    <mergeCell ref="B40:C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5.57421875" style="61" customWidth="1"/>
    <col min="2" max="2" width="51.8515625" style="61" customWidth="1"/>
    <col min="3" max="3" width="15.7109375" style="61" customWidth="1"/>
    <col min="4" max="4" width="14.8515625" style="61" customWidth="1"/>
    <col min="5" max="5" width="12.57421875" style="61" customWidth="1"/>
    <col min="6" max="6" width="12.42187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140625" style="6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164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549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147973.89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214</v>
      </c>
      <c r="B14" s="68"/>
      <c r="C14" s="68"/>
      <c r="D14" s="73"/>
      <c r="E14" s="74"/>
      <c r="F14" s="74"/>
      <c r="G14" s="69">
        <f>'[1]Нефтебаза 5'!$G$35</f>
        <v>-20177.498099999997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540</v>
      </c>
    </row>
    <row r="17" spans="1:16" s="63" customFormat="1" ht="14.25">
      <c r="A17" s="79" t="s">
        <v>14</v>
      </c>
      <c r="B17" s="41" t="s">
        <v>15</v>
      </c>
      <c r="C17" s="141">
        <f>C18+C19+C20+C21</f>
        <v>9.53</v>
      </c>
      <c r="D17" s="80">
        <v>240624.73</v>
      </c>
      <c r="E17" s="80">
        <v>222073.39</v>
      </c>
      <c r="F17" s="80">
        <f>D17</f>
        <v>240624.73</v>
      </c>
      <c r="G17" s="81">
        <f>E17-D17</f>
        <v>-18551.339999999997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84332.2768310598</v>
      </c>
      <c r="E18" s="87">
        <f>E17*I18</f>
        <v>77830.5480167891</v>
      </c>
      <c r="F18" s="87">
        <f>D18</f>
        <v>84332.2768310598</v>
      </c>
      <c r="G18" s="88">
        <f aca="true" t="shared" si="0" ref="G18:G26">E18-D18</f>
        <v>-6501.728814270711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41156.17102833159</v>
      </c>
      <c r="E19" s="87">
        <f>E17*I19</f>
        <v>37983.171636936</v>
      </c>
      <c r="F19" s="87">
        <f>D19</f>
        <v>41156.17102833159</v>
      </c>
      <c r="G19" s="88">
        <f t="shared" si="0"/>
        <v>-3172.9993913955914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41156.17102833159</v>
      </c>
      <c r="E20" s="87">
        <f>E17*I20</f>
        <v>37983.171636936</v>
      </c>
      <c r="F20" s="87">
        <f>D20</f>
        <v>41156.17102833159</v>
      </c>
      <c r="G20" s="88">
        <f t="shared" si="0"/>
        <v>-3172.9993913955914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73980.11111227704</v>
      </c>
      <c r="E21" s="87">
        <f>E17*I21</f>
        <v>68276.49870933895</v>
      </c>
      <c r="F21" s="87">
        <f>D21</f>
        <v>73980.11111227704</v>
      </c>
      <c r="G21" s="88">
        <f t="shared" si="0"/>
        <v>-5703.612402938088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/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1">
        <v>10</v>
      </c>
      <c r="D25" s="91">
        <v>238446</v>
      </c>
      <c r="E25" s="91">
        <v>231185.37</v>
      </c>
      <c r="F25" s="91">
        <f>F40</f>
        <v>8756.8537</v>
      </c>
      <c r="G25" s="91">
        <f>E25-D25</f>
        <v>-7260.630000000005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 t="s">
        <v>314</v>
      </c>
      <c r="D26" s="81"/>
      <c r="E26" s="81"/>
      <c r="F26" s="91">
        <f>D26</f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916996.78</v>
      </c>
      <c r="E27" s="81">
        <f>SUM(E28:E31)</f>
        <v>904333.3999999999</v>
      </c>
      <c r="F27" s="81">
        <f>SUM(F28:F31)</f>
        <v>916996.78</v>
      </c>
      <c r="G27" s="81">
        <f>SUM(G28:G31)</f>
        <v>-12663.379999999997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45309.77</v>
      </c>
      <c r="E28" s="88">
        <v>42865.67</v>
      </c>
      <c r="F28" s="88">
        <f>D28</f>
        <v>45309.77</v>
      </c>
      <c r="G28" s="88">
        <f>E28-D28</f>
        <v>-2444.0999999999985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263218.79</v>
      </c>
      <c r="E29" s="88">
        <v>260302.29</v>
      </c>
      <c r="F29" s="88">
        <f>D29</f>
        <v>263218.79</v>
      </c>
      <c r="G29" s="88">
        <f>E29-D29</f>
        <v>-2916.499999999971</v>
      </c>
    </row>
    <row r="30" spans="1:7" ht="15">
      <c r="A30" s="34" t="s">
        <v>42</v>
      </c>
      <c r="B30" s="34" t="s">
        <v>143</v>
      </c>
      <c r="C30" s="149">
        <v>0</v>
      </c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383</v>
      </c>
      <c r="D31" s="88">
        <v>608468.22</v>
      </c>
      <c r="E31" s="88">
        <v>601165.44</v>
      </c>
      <c r="F31" s="88">
        <f>D31</f>
        <v>608468.22</v>
      </c>
      <c r="G31" s="88">
        <f>E31-D31</f>
        <v>-7302.780000000028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D12+D17+D23+D24+D25+D26+D27-E17-E23-E24-E25-E26-E27</f>
        <v>186449.23999999976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202251.0182</v>
      </c>
      <c r="H35" s="66"/>
      <c r="I35" s="66"/>
    </row>
    <row r="36" spans="1:13" s="106" customFormat="1" ht="13.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3" s="106" customFormat="1" ht="27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105"/>
      <c r="M37" s="105"/>
    </row>
    <row r="39" spans="1:11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4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SUM(F41:G43)</f>
        <v>8756.8537</v>
      </c>
      <c r="G40" s="351"/>
      <c r="H40" s="270"/>
      <c r="I40" s="271"/>
      <c r="J40" s="119"/>
      <c r="K40" s="119"/>
      <c r="N40" s="112"/>
    </row>
    <row r="41" spans="1:14" s="119" customFormat="1" ht="15">
      <c r="A41" s="34" t="s">
        <v>16</v>
      </c>
      <c r="B41" s="325" t="s">
        <v>663</v>
      </c>
      <c r="C41" s="350"/>
      <c r="D41" s="123"/>
      <c r="E41" s="159" t="s">
        <v>286</v>
      </c>
      <c r="F41" s="355">
        <v>5600</v>
      </c>
      <c r="G41" s="355"/>
      <c r="H41" s="40"/>
      <c r="I41" s="40"/>
      <c r="J41" s="61"/>
      <c r="K41" s="61"/>
      <c r="N41" s="120"/>
    </row>
    <row r="42" spans="1:14" s="119" customFormat="1" ht="15">
      <c r="A42" s="34" t="s">
        <v>18</v>
      </c>
      <c r="B42" s="325" t="s">
        <v>682</v>
      </c>
      <c r="C42" s="350"/>
      <c r="D42" s="123" t="s">
        <v>269</v>
      </c>
      <c r="E42" s="159">
        <v>0.02</v>
      </c>
      <c r="F42" s="355">
        <v>845</v>
      </c>
      <c r="G42" s="355"/>
      <c r="H42" s="40"/>
      <c r="I42" s="40"/>
      <c r="J42" s="61"/>
      <c r="K42" s="61"/>
      <c r="N42" s="120"/>
    </row>
    <row r="43" spans="1:7" s="63" customFormat="1" ht="15">
      <c r="A43" s="34" t="s">
        <v>20</v>
      </c>
      <c r="B43" s="364" t="s">
        <v>207</v>
      </c>
      <c r="C43" s="365"/>
      <c r="D43" s="129"/>
      <c r="E43" s="129"/>
      <c r="F43" s="355">
        <f>E25*1%</f>
        <v>2311.8537</v>
      </c>
      <c r="G43" s="355"/>
    </row>
    <row r="44" spans="1:11" s="71" customFormat="1" ht="1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</row>
    <row r="45" spans="1:11" s="63" customFormat="1" ht="15">
      <c r="A45" s="71" t="s">
        <v>55</v>
      </c>
      <c r="B45" s="71"/>
      <c r="C45" s="131" t="s">
        <v>49</v>
      </c>
      <c r="D45" s="71"/>
      <c r="E45" s="71"/>
      <c r="F45" s="71" t="s">
        <v>93</v>
      </c>
      <c r="G45" s="71"/>
      <c r="H45" s="71"/>
      <c r="I45" s="71"/>
      <c r="J45" s="71"/>
      <c r="K45" s="71"/>
    </row>
    <row r="46" spans="1:7" s="63" customFormat="1" ht="15">
      <c r="A46" s="71"/>
      <c r="B46" s="71"/>
      <c r="C46" s="131"/>
      <c r="D46" s="71"/>
      <c r="E46" s="71"/>
      <c r="F46" s="132" t="s">
        <v>296</v>
      </c>
      <c r="G46" s="71"/>
    </row>
    <row r="47" spans="1:10" s="63" customFormat="1" ht="15">
      <c r="A47" s="71" t="s">
        <v>50</v>
      </c>
      <c r="B47" s="71"/>
      <c r="C47" s="131"/>
      <c r="D47" s="71"/>
      <c r="E47" s="71"/>
      <c r="F47" s="71"/>
      <c r="G47" s="71"/>
      <c r="H47" s="164"/>
      <c r="I47" s="164"/>
      <c r="J47" s="164"/>
    </row>
    <row r="48" spans="1:7" s="63" customFormat="1" ht="15">
      <c r="A48" s="71"/>
      <c r="B48" s="71"/>
      <c r="C48" s="133" t="s">
        <v>51</v>
      </c>
      <c r="D48" s="71"/>
      <c r="E48" s="134"/>
      <c r="F48" s="134"/>
      <c r="G48" s="134"/>
    </row>
    <row r="49" spans="1:11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</sheetData>
  <sheetProtection/>
  <mergeCells count="20">
    <mergeCell ref="B40:C40"/>
    <mergeCell ref="F40:G40"/>
    <mergeCell ref="B41:C41"/>
    <mergeCell ref="F41:G41"/>
    <mergeCell ref="A1:K1"/>
    <mergeCell ref="A2:K2"/>
    <mergeCell ref="A3:K3"/>
    <mergeCell ref="A5:K5"/>
    <mergeCell ref="A9:K9"/>
    <mergeCell ref="F39:G39"/>
    <mergeCell ref="B42:C42"/>
    <mergeCell ref="F42:G42"/>
    <mergeCell ref="B43:C43"/>
    <mergeCell ref="F43:G43"/>
    <mergeCell ref="A10:K10"/>
    <mergeCell ref="A11:K11"/>
    <mergeCell ref="A12:C12"/>
    <mergeCell ref="A33:C33"/>
    <mergeCell ref="A37:K37"/>
    <mergeCell ref="B39:C39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7030A0"/>
  </sheetPr>
  <dimension ref="A1:P51"/>
  <sheetViews>
    <sheetView zoomScalePageLayoutView="0" workbookViewId="0" topLeftCell="A1">
      <selection activeCell="F41" sqref="F41:G45"/>
    </sheetView>
  </sheetViews>
  <sheetFormatPr defaultColWidth="9.140625" defaultRowHeight="15" outlineLevelCol="1"/>
  <cols>
    <col min="1" max="1" width="5.57421875" style="61" customWidth="1"/>
    <col min="2" max="2" width="51.8515625" style="61" customWidth="1"/>
    <col min="3" max="3" width="15.7109375" style="61" customWidth="1"/>
    <col min="4" max="4" width="14.8515625" style="61" customWidth="1"/>
    <col min="5" max="6" width="12.85156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10.00390625" style="61" bestFit="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686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687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172606.51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'[1]Нефтебаза 6'!$G$35</f>
        <v>56461.053199999995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540</v>
      </c>
    </row>
    <row r="17" spans="1:16" s="63" customFormat="1" ht="14.25">
      <c r="A17" s="79" t="s">
        <v>14</v>
      </c>
      <c r="B17" s="41" t="s">
        <v>15</v>
      </c>
      <c r="C17" s="141">
        <f>C18+C19+C20+C21</f>
        <v>9.53</v>
      </c>
      <c r="D17" s="80">
        <v>272882.8</v>
      </c>
      <c r="E17" s="80">
        <v>258879.11</v>
      </c>
      <c r="F17" s="80">
        <f>D17</f>
        <v>272882.8</v>
      </c>
      <c r="G17" s="81">
        <f>E17-D17</f>
        <v>-14003.690000000002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103">
        <v>3.34</v>
      </c>
      <c r="D18" s="87">
        <f>D17*I18</f>
        <v>95637.83336831059</v>
      </c>
      <c r="E18" s="87">
        <f>E17*I18</f>
        <v>90729.92942287512</v>
      </c>
      <c r="F18" s="87">
        <f>D18</f>
        <v>95637.83336831059</v>
      </c>
      <c r="G18" s="88">
        <f aca="true" t="shared" si="0" ref="G18:G26">E18-D18</f>
        <v>-4907.903945435464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103">
        <v>1.63</v>
      </c>
      <c r="D19" s="87">
        <f>D17*I19</f>
        <v>46673.55341028332</v>
      </c>
      <c r="E19" s="87">
        <f>E17*I19</f>
        <v>44278.37873032529</v>
      </c>
      <c r="F19" s="87">
        <f>D19</f>
        <v>46673.55341028332</v>
      </c>
      <c r="G19" s="88">
        <f t="shared" si="0"/>
        <v>-2395.1746799580287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103">
        <v>1.63</v>
      </c>
      <c r="D20" s="87">
        <f>D17*I20</f>
        <v>46673.55341028332</v>
      </c>
      <c r="E20" s="87">
        <f>E17*I20</f>
        <v>44278.37873032529</v>
      </c>
      <c r="F20" s="87">
        <f>D20</f>
        <v>46673.55341028332</v>
      </c>
      <c r="G20" s="88">
        <f t="shared" si="0"/>
        <v>-2395.1746799580287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103">
        <v>2.93</v>
      </c>
      <c r="D21" s="87">
        <f>D17*I21</f>
        <v>83897.85981112278</v>
      </c>
      <c r="E21" s="87">
        <f>E17*I21</f>
        <v>79592.4231164743</v>
      </c>
      <c r="F21" s="87">
        <f>D21</f>
        <v>83897.85981112278</v>
      </c>
      <c r="G21" s="88">
        <f t="shared" si="0"/>
        <v>-4305.436694648481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10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10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147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1">
        <v>1.8</v>
      </c>
      <c r="D25" s="91">
        <v>51519.24</v>
      </c>
      <c r="E25" s="91">
        <v>48868.75</v>
      </c>
      <c r="F25" s="91">
        <f>F40</f>
        <v>113751.6875</v>
      </c>
      <c r="G25" s="91">
        <f>E25-D25</f>
        <v>-2650.489999999998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>
        <v>39.62</v>
      </c>
      <c r="D26" s="81">
        <v>0</v>
      </c>
      <c r="E26" s="81">
        <v>0</v>
      </c>
      <c r="F26" s="91"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1350359.8399999999</v>
      </c>
      <c r="E27" s="81">
        <f>SUM(E28:E31)</f>
        <v>1287445.3</v>
      </c>
      <c r="F27" s="81">
        <f>SUM(F28:F31)</f>
        <v>1350359.8399999999</v>
      </c>
      <c r="G27" s="81">
        <f>SUM(G28:G31)</f>
        <v>-62914.539999999906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74166.58</v>
      </c>
      <c r="E28" s="88">
        <v>69657.69</v>
      </c>
      <c r="F28" s="88">
        <f>D28</f>
        <v>74166.58</v>
      </c>
      <c r="G28" s="88">
        <f>E28-D28</f>
        <v>-4508.889999999999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467191.41</v>
      </c>
      <c r="E29" s="88">
        <v>451259.33</v>
      </c>
      <c r="F29" s="88">
        <f>D29</f>
        <v>467191.41</v>
      </c>
      <c r="G29" s="88">
        <f>E29-D29</f>
        <v>-15932.079999999958</v>
      </c>
    </row>
    <row r="30" spans="1:7" ht="15">
      <c r="A30" s="34" t="s">
        <v>42</v>
      </c>
      <c r="B30" s="34" t="s">
        <v>143</v>
      </c>
      <c r="C30" s="149">
        <v>0</v>
      </c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03" t="s">
        <v>383</v>
      </c>
      <c r="D31" s="88">
        <v>809001.85</v>
      </c>
      <c r="E31" s="88">
        <v>766528.28</v>
      </c>
      <c r="F31" s="88">
        <f>D31</f>
        <v>809001.85</v>
      </c>
      <c r="G31" s="88">
        <f>E31-D31</f>
        <v>-42473.56999999995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D12+D17+D23+D24+D25+D26+D27-E17-E23-E24-E25-E26-E27</f>
        <v>252175.22999999975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4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-8421.884300000005</v>
      </c>
      <c r="H35" s="66"/>
      <c r="I35" s="66"/>
      <c r="N35" s="152"/>
    </row>
    <row r="36" spans="1:13" s="106" customFormat="1" ht="13.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3" s="106" customFormat="1" ht="27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105"/>
      <c r="M37" s="105"/>
    </row>
    <row r="39" spans="1:11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4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SUM(F41:G45)</f>
        <v>113751.6875</v>
      </c>
      <c r="G40" s="351"/>
      <c r="H40" s="270"/>
      <c r="I40" s="271"/>
      <c r="J40" s="119"/>
      <c r="K40" s="119"/>
      <c r="N40" s="112"/>
    </row>
    <row r="41" spans="1:14" s="119" customFormat="1" ht="15">
      <c r="A41" s="34" t="s">
        <v>16</v>
      </c>
      <c r="B41" s="325" t="s">
        <v>547</v>
      </c>
      <c r="C41" s="327"/>
      <c r="D41" s="123" t="s">
        <v>173</v>
      </c>
      <c r="E41" s="123">
        <v>2</v>
      </c>
      <c r="F41" s="366">
        <v>560</v>
      </c>
      <c r="G41" s="367"/>
      <c r="H41" s="272"/>
      <c r="I41" s="273"/>
      <c r="J41" s="61"/>
      <c r="K41" s="61"/>
      <c r="N41" s="120"/>
    </row>
    <row r="42" spans="1:14" ht="15">
      <c r="A42" s="34" t="s">
        <v>18</v>
      </c>
      <c r="B42" s="325" t="s">
        <v>548</v>
      </c>
      <c r="C42" s="327"/>
      <c r="D42" s="123" t="s">
        <v>269</v>
      </c>
      <c r="E42" s="123">
        <v>0.04</v>
      </c>
      <c r="F42" s="366">
        <v>1064</v>
      </c>
      <c r="G42" s="367"/>
      <c r="H42" s="40"/>
      <c r="I42" s="40"/>
      <c r="N42" s="124"/>
    </row>
    <row r="43" spans="1:14" ht="15">
      <c r="A43" s="34" t="s">
        <v>20</v>
      </c>
      <c r="B43" s="325" t="s">
        <v>652</v>
      </c>
      <c r="C43" s="327"/>
      <c r="D43" s="123" t="s">
        <v>173</v>
      </c>
      <c r="E43" s="123">
        <v>1</v>
      </c>
      <c r="F43" s="366">
        <v>22420</v>
      </c>
      <c r="G43" s="367"/>
      <c r="H43" s="40"/>
      <c r="I43" s="40"/>
      <c r="N43" s="124"/>
    </row>
    <row r="44" spans="1:14" ht="15">
      <c r="A44" s="34" t="s">
        <v>22</v>
      </c>
      <c r="B44" s="325" t="s">
        <v>758</v>
      </c>
      <c r="C44" s="327"/>
      <c r="D44" s="123"/>
      <c r="E44" s="123"/>
      <c r="F44" s="388">
        <v>89219</v>
      </c>
      <c r="G44" s="389"/>
      <c r="H44" s="40"/>
      <c r="I44" s="40"/>
      <c r="N44" s="124"/>
    </row>
    <row r="45" spans="1:7" s="63" customFormat="1" ht="15">
      <c r="A45" s="34" t="s">
        <v>24</v>
      </c>
      <c r="B45" s="364" t="s">
        <v>207</v>
      </c>
      <c r="C45" s="365"/>
      <c r="D45" s="129"/>
      <c r="E45" s="129"/>
      <c r="F45" s="355">
        <f>E25*1%</f>
        <v>488.6875</v>
      </c>
      <c r="G45" s="355"/>
    </row>
    <row r="46" spans="1:11" s="71" customFormat="1" ht="1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1" s="63" customFormat="1" ht="15">
      <c r="A47" s="71" t="s">
        <v>55</v>
      </c>
      <c r="B47" s="71"/>
      <c r="C47" s="131" t="s">
        <v>49</v>
      </c>
      <c r="D47" s="71"/>
      <c r="E47" s="71"/>
      <c r="F47" s="71" t="s">
        <v>93</v>
      </c>
      <c r="G47" s="71"/>
      <c r="H47" s="71"/>
      <c r="I47" s="71"/>
      <c r="J47" s="71"/>
      <c r="K47" s="71"/>
    </row>
    <row r="48" spans="1:7" s="63" customFormat="1" ht="15">
      <c r="A48" s="71"/>
      <c r="B48" s="71"/>
      <c r="C48" s="131"/>
      <c r="D48" s="71"/>
      <c r="E48" s="71"/>
      <c r="F48" s="132" t="s">
        <v>296</v>
      </c>
      <c r="G48" s="71"/>
    </row>
    <row r="49" spans="1:10" s="63" customFormat="1" ht="15">
      <c r="A49" s="71" t="s">
        <v>50</v>
      </c>
      <c r="B49" s="71"/>
      <c r="C49" s="131"/>
      <c r="D49" s="71"/>
      <c r="E49" s="71"/>
      <c r="F49" s="71"/>
      <c r="G49" s="71"/>
      <c r="H49" s="164"/>
      <c r="I49" s="164"/>
      <c r="J49" s="164"/>
    </row>
    <row r="50" spans="1:7" s="63" customFormat="1" ht="15">
      <c r="A50" s="71"/>
      <c r="B50" s="71"/>
      <c r="C50" s="133" t="s">
        <v>51</v>
      </c>
      <c r="D50" s="71"/>
      <c r="E50" s="134"/>
      <c r="F50" s="134"/>
      <c r="G50" s="134"/>
    </row>
    <row r="51" spans="1:11" ht="12.7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</row>
  </sheetData>
  <sheetProtection/>
  <mergeCells count="24">
    <mergeCell ref="A10:K10"/>
    <mergeCell ref="A1:K1"/>
    <mergeCell ref="A2:K2"/>
    <mergeCell ref="A3:K3"/>
    <mergeCell ref="A5:K5"/>
    <mergeCell ref="A9:K9"/>
    <mergeCell ref="B43:C43"/>
    <mergeCell ref="F43:G43"/>
    <mergeCell ref="A11:K11"/>
    <mergeCell ref="A12:C12"/>
    <mergeCell ref="A33:C33"/>
    <mergeCell ref="A37:K37"/>
    <mergeCell ref="B39:C39"/>
    <mergeCell ref="F39:G39"/>
    <mergeCell ref="B44:C44"/>
    <mergeCell ref="F44:G44"/>
    <mergeCell ref="B45:C45"/>
    <mergeCell ref="F45:G45"/>
    <mergeCell ref="B40:C40"/>
    <mergeCell ref="F40:G40"/>
    <mergeCell ref="B41:C41"/>
    <mergeCell ref="F41:G41"/>
    <mergeCell ref="B42:C42"/>
    <mergeCell ref="F42:G42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7030A0"/>
  </sheetPr>
  <dimension ref="A1:N57"/>
  <sheetViews>
    <sheetView zoomScalePageLayoutView="0" workbookViewId="0" topLeftCell="A1">
      <selection activeCell="G36" sqref="G36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165</v>
      </c>
      <c r="H7" s="64"/>
    </row>
    <row r="8" spans="1:8" s="63" customFormat="1" ht="12.75">
      <c r="A8" s="63" t="s">
        <v>3</v>
      </c>
      <c r="F8" s="64" t="s">
        <v>532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213</v>
      </c>
      <c r="B12" s="320"/>
      <c r="C12" s="320"/>
      <c r="D12" s="51">
        <v>586665.67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'[1]Аэропортовская 14'!$G$35</f>
        <v>146075.8973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540</v>
      </c>
    </row>
    <row r="17" spans="1:14" s="63" customFormat="1" ht="14.25">
      <c r="A17" s="79" t="s">
        <v>14</v>
      </c>
      <c r="B17" s="41" t="s">
        <v>15</v>
      </c>
      <c r="C17" s="101">
        <f>C18+C19+C20+C21+C22</f>
        <v>10.603679259369866</v>
      </c>
      <c r="D17" s="80">
        <v>680756.08</v>
      </c>
      <c r="E17" s="80">
        <v>636613.65</v>
      </c>
      <c r="F17" s="80">
        <f aca="true" t="shared" si="0" ref="F17:F22">D17</f>
        <v>680756.08</v>
      </c>
      <c r="G17" s="81">
        <f>E17-D17</f>
        <v>-44142.429999999935</v>
      </c>
      <c r="H17" s="82">
        <f aca="true" t="shared" si="1" ref="H17:H22">C17</f>
        <v>10.603679259369866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214427.95953968886</v>
      </c>
      <c r="E18" s="87">
        <f>E17*I18</f>
        <v>200523.75585777164</v>
      </c>
      <c r="F18" s="87">
        <f t="shared" si="0"/>
        <v>214427.95953968886</v>
      </c>
      <c r="G18" s="88">
        <f aca="true" t="shared" si="2" ref="G18:G27">E18-D18</f>
        <v>-13904.20368191722</v>
      </c>
      <c r="H18" s="82">
        <f t="shared" si="1"/>
        <v>3.34</v>
      </c>
      <c r="I18" s="63">
        <f>H18/H17</f>
        <v>0.31498500834496973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104645.98025439905</v>
      </c>
      <c r="E19" s="87">
        <f>E17*I19</f>
        <v>97860.39582280473</v>
      </c>
      <c r="F19" s="87">
        <f t="shared" si="0"/>
        <v>104645.98025439905</v>
      </c>
      <c r="G19" s="88">
        <f t="shared" si="2"/>
        <v>-6785.584431594325</v>
      </c>
      <c r="H19" s="82">
        <f t="shared" si="1"/>
        <v>1.63</v>
      </c>
      <c r="I19" s="63">
        <f>H19/H17</f>
        <v>0.1537202286234433</v>
      </c>
    </row>
    <row r="20" spans="1:10" s="63" customFormat="1" ht="15">
      <c r="A20" s="85" t="s">
        <v>20</v>
      </c>
      <c r="B20" s="34" t="s">
        <v>21</v>
      </c>
      <c r="C20" s="86">
        <v>2.07</v>
      </c>
      <c r="D20" s="87">
        <f>D17*I20</f>
        <v>132893.97492429818</v>
      </c>
      <c r="E20" s="87">
        <f>E17*I20</f>
        <v>124276.6989896968</v>
      </c>
      <c r="F20" s="87">
        <f t="shared" si="0"/>
        <v>132893.97492429818</v>
      </c>
      <c r="G20" s="88">
        <f t="shared" si="2"/>
        <v>-8617.275934601377</v>
      </c>
      <c r="H20" s="82">
        <f t="shared" si="1"/>
        <v>2.07</v>
      </c>
      <c r="I20" s="63">
        <f>H20/H17</f>
        <v>0.1952152596629004</v>
      </c>
      <c r="J20" s="282"/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188105.96450637383</v>
      </c>
      <c r="E21" s="87">
        <f>E17*I21</f>
        <v>175908.56427044043</v>
      </c>
      <c r="F21" s="87">
        <f t="shared" si="0"/>
        <v>188105.96450637383</v>
      </c>
      <c r="G21" s="88">
        <f t="shared" si="2"/>
        <v>-12197.400235933397</v>
      </c>
      <c r="H21" s="82">
        <f t="shared" si="1"/>
        <v>2.93</v>
      </c>
      <c r="I21" s="63">
        <f>H21/H17</f>
        <v>0.2763191839672939</v>
      </c>
    </row>
    <row r="22" spans="1:10" s="63" customFormat="1" ht="15">
      <c r="A22" s="85" t="s">
        <v>24</v>
      </c>
      <c r="B22" s="34" t="s">
        <v>197</v>
      </c>
      <c r="C22" s="86">
        <f>(140*97*3)/5357.6/12</f>
        <v>0.6336792593698671</v>
      </c>
      <c r="D22" s="87">
        <f>D17*I22</f>
        <v>40682.20077524009</v>
      </c>
      <c r="E22" s="87">
        <f>E17*I22</f>
        <v>38044.23505928647</v>
      </c>
      <c r="F22" s="87">
        <f t="shared" si="0"/>
        <v>40682.20077524009</v>
      </c>
      <c r="G22" s="88">
        <f>E22-D22</f>
        <v>-2637.965715953622</v>
      </c>
      <c r="H22" s="82">
        <f t="shared" si="1"/>
        <v>0.6336792593698671</v>
      </c>
      <c r="I22" s="63">
        <f>H22/H17</f>
        <v>0.05976031940139277</v>
      </c>
      <c r="J22" s="65" t="s">
        <v>541</v>
      </c>
    </row>
    <row r="23" spans="1:11" s="93" customFormat="1" ht="14.25">
      <c r="A23" s="90" t="s">
        <v>25</v>
      </c>
      <c r="B23" s="90" t="s">
        <v>26</v>
      </c>
      <c r="C23" s="46">
        <v>0</v>
      </c>
      <c r="D23" s="91">
        <v>0</v>
      </c>
      <c r="E23" s="91">
        <v>0</v>
      </c>
      <c r="F23" s="91">
        <v>0</v>
      </c>
      <c r="G23" s="91">
        <f t="shared" si="2"/>
        <v>0</v>
      </c>
      <c r="H23" s="92"/>
      <c r="I23" s="92"/>
      <c r="J23" s="92"/>
      <c r="K23" s="92"/>
    </row>
    <row r="24" spans="1:11" s="93" customFormat="1" ht="14.25">
      <c r="A24" s="90" t="s">
        <v>27</v>
      </c>
      <c r="B24" s="90" t="s">
        <v>28</v>
      </c>
      <c r="C24" s="46"/>
      <c r="D24" s="91">
        <v>0</v>
      </c>
      <c r="E24" s="91">
        <v>0</v>
      </c>
      <c r="F24" s="91">
        <f>D24</f>
        <v>0</v>
      </c>
      <c r="G24" s="91">
        <f t="shared" si="2"/>
        <v>0</v>
      </c>
      <c r="H24" s="92"/>
      <c r="I24" s="92"/>
      <c r="J24" s="92"/>
      <c r="K24" s="92"/>
    </row>
    <row r="25" spans="1:11" s="93" customFormat="1" ht="14.25">
      <c r="A25" s="90" t="s">
        <v>29</v>
      </c>
      <c r="B25" s="90" t="s">
        <v>30</v>
      </c>
      <c r="C25" s="46">
        <v>0</v>
      </c>
      <c r="D25" s="91">
        <v>0</v>
      </c>
      <c r="E25" s="91">
        <v>0</v>
      </c>
      <c r="F25" s="91">
        <v>0</v>
      </c>
      <c r="G25" s="91">
        <f t="shared" si="2"/>
        <v>0</v>
      </c>
      <c r="H25" s="92"/>
      <c r="I25" s="92"/>
      <c r="J25" s="92"/>
      <c r="K25" s="92"/>
    </row>
    <row r="26" spans="1:11" s="93" customFormat="1" ht="14.25">
      <c r="A26" s="90" t="s">
        <v>31</v>
      </c>
      <c r="B26" s="90" t="s">
        <v>119</v>
      </c>
      <c r="C26" s="99">
        <v>1.99</v>
      </c>
      <c r="D26" s="91">
        <v>127682.63</v>
      </c>
      <c r="E26" s="91">
        <v>120246.4</v>
      </c>
      <c r="F26" s="91">
        <f>F41</f>
        <v>292136.984</v>
      </c>
      <c r="G26" s="91">
        <f>E26-D26</f>
        <v>-7436.2300000000105</v>
      </c>
      <c r="H26" s="92"/>
      <c r="I26" s="92"/>
      <c r="J26" s="92"/>
      <c r="K26" s="92"/>
    </row>
    <row r="27" spans="1:11" ht="14.25">
      <c r="A27" s="41" t="s">
        <v>33</v>
      </c>
      <c r="B27" s="41" t="s">
        <v>170</v>
      </c>
      <c r="C27" s="101">
        <v>39.62</v>
      </c>
      <c r="D27" s="81">
        <v>0</v>
      </c>
      <c r="E27" s="81">
        <v>0</v>
      </c>
      <c r="F27" s="91">
        <v>0</v>
      </c>
      <c r="G27" s="81">
        <f t="shared" si="2"/>
        <v>0</v>
      </c>
      <c r="H27" s="102"/>
      <c r="I27" s="102"/>
      <c r="J27" s="102"/>
      <c r="K27" s="102"/>
    </row>
    <row r="28" spans="1:11" ht="14.25">
      <c r="A28" s="41" t="s">
        <v>35</v>
      </c>
      <c r="B28" s="41" t="s">
        <v>36</v>
      </c>
      <c r="C28" s="101">
        <v>0</v>
      </c>
      <c r="D28" s="81">
        <f>SUM(D29:D32)</f>
        <v>3132028.77</v>
      </c>
      <c r="E28" s="81">
        <f>SUM(E29:E32)</f>
        <v>3001184.8099999996</v>
      </c>
      <c r="F28" s="81">
        <f>SUM(F29:F32)</f>
        <v>3132028.77</v>
      </c>
      <c r="G28" s="81">
        <f>SUM(G29:G32)</f>
        <v>-130843.95999999999</v>
      </c>
      <c r="H28" s="102"/>
      <c r="I28" s="102"/>
      <c r="J28" s="102"/>
      <c r="K28" s="102"/>
    </row>
    <row r="29" spans="1:7" ht="15">
      <c r="A29" s="34" t="s">
        <v>37</v>
      </c>
      <c r="B29" s="34" t="s">
        <v>174</v>
      </c>
      <c r="C29" s="103" t="s">
        <v>408</v>
      </c>
      <c r="D29" s="88">
        <v>129724.86</v>
      </c>
      <c r="E29" s="88">
        <v>120521.26</v>
      </c>
      <c r="F29" s="88">
        <f>D29</f>
        <v>129724.86</v>
      </c>
      <c r="G29" s="88">
        <f>E29-D29</f>
        <v>-9203.600000000006</v>
      </c>
    </row>
    <row r="30" spans="1:7" ht="15">
      <c r="A30" s="34" t="s">
        <v>39</v>
      </c>
      <c r="B30" s="34" t="s">
        <v>142</v>
      </c>
      <c r="C30" s="103" t="s">
        <v>315</v>
      </c>
      <c r="D30" s="88">
        <v>431571.92</v>
      </c>
      <c r="E30" s="88">
        <v>444265.32</v>
      </c>
      <c r="F30" s="88">
        <f>D30</f>
        <v>431571.92</v>
      </c>
      <c r="G30" s="88">
        <f>E30-D30</f>
        <v>12693.400000000023</v>
      </c>
    </row>
    <row r="31" spans="1:7" ht="15">
      <c r="A31" s="34" t="s">
        <v>42</v>
      </c>
      <c r="B31" s="34" t="s">
        <v>143</v>
      </c>
      <c r="C31" s="149" t="s">
        <v>533</v>
      </c>
      <c r="D31" s="88">
        <v>756026.96</v>
      </c>
      <c r="E31" s="88">
        <v>724112.2</v>
      </c>
      <c r="F31" s="88">
        <f>D31</f>
        <v>756026.96</v>
      </c>
      <c r="G31" s="88">
        <f>E31-D31</f>
        <v>-31914.76000000001</v>
      </c>
    </row>
    <row r="32" spans="1:7" ht="15">
      <c r="A32" s="34" t="s">
        <v>41</v>
      </c>
      <c r="B32" s="34" t="s">
        <v>43</v>
      </c>
      <c r="C32" s="149" t="s">
        <v>383</v>
      </c>
      <c r="D32" s="88">
        <v>1814705.03</v>
      </c>
      <c r="E32" s="88">
        <v>1712286.03</v>
      </c>
      <c r="F32" s="88">
        <f>D32</f>
        <v>1814705.03</v>
      </c>
      <c r="G32" s="88">
        <f>E32-D32</f>
        <v>-102419</v>
      </c>
    </row>
    <row r="33" spans="1:9" s="106" customFormat="1" ht="7.5" customHeight="1" thickBot="1">
      <c r="A33" s="104"/>
      <c r="B33" s="104"/>
      <c r="C33" s="104"/>
      <c r="D33" s="105"/>
      <c r="E33" s="105"/>
      <c r="F33" s="105"/>
      <c r="G33" s="105"/>
      <c r="H33" s="105"/>
      <c r="I33" s="105"/>
    </row>
    <row r="34" spans="1:9" s="71" customFormat="1" ht="15.75" thickBot="1">
      <c r="A34" s="319" t="s">
        <v>420</v>
      </c>
      <c r="B34" s="320"/>
      <c r="C34" s="320"/>
      <c r="D34" s="69">
        <f>D12+D17+D23+D24+D25+D26+D27+D28-E17-E23-E24-E25-E26-E27-E28</f>
        <v>769088.290000001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558</v>
      </c>
      <c r="B36" s="68"/>
      <c r="C36" s="68"/>
      <c r="D36" s="73"/>
      <c r="E36" s="74"/>
      <c r="F36" s="74"/>
      <c r="G36" s="151">
        <f>G14+E26-F26</f>
        <v>-25814.68670000002</v>
      </c>
      <c r="H36" s="66"/>
      <c r="I36" s="66"/>
    </row>
    <row r="37" spans="1:11" s="106" customFormat="1" ht="13.5">
      <c r="A37" s="108"/>
      <c r="B37" s="108"/>
      <c r="C37" s="108"/>
      <c r="D37" s="108"/>
      <c r="E37" s="105"/>
      <c r="F37" s="105"/>
      <c r="G37" s="105"/>
      <c r="H37" s="105"/>
      <c r="I37" s="105"/>
      <c r="J37" s="105"/>
      <c r="K37" s="105"/>
    </row>
    <row r="38" spans="1:11" ht="31.5" customHeight="1">
      <c r="A38" s="321" t="s">
        <v>196</v>
      </c>
      <c r="B38" s="349"/>
      <c r="C38" s="349"/>
      <c r="D38" s="349"/>
      <c r="E38" s="349"/>
      <c r="F38" s="349"/>
      <c r="G38" s="349"/>
      <c r="H38" s="62"/>
      <c r="I38" s="62"/>
      <c r="J38" s="62"/>
      <c r="K38" s="62"/>
    </row>
    <row r="40" spans="1:12" s="78" customFormat="1" ht="37.5" customHeight="1">
      <c r="A40" s="109" t="s">
        <v>11</v>
      </c>
      <c r="B40" s="426" t="s">
        <v>45</v>
      </c>
      <c r="C40" s="426"/>
      <c r="D40" s="109" t="s">
        <v>172</v>
      </c>
      <c r="E40" s="109" t="s">
        <v>171</v>
      </c>
      <c r="F40" s="426" t="s">
        <v>46</v>
      </c>
      <c r="G40" s="426"/>
      <c r="H40" s="110"/>
      <c r="I40" s="111"/>
      <c r="L40" s="112"/>
    </row>
    <row r="41" spans="1:12" s="119" customFormat="1" ht="15" customHeight="1">
      <c r="A41" s="113" t="s">
        <v>47</v>
      </c>
      <c r="B41" s="427" t="s">
        <v>114</v>
      </c>
      <c r="C41" s="427"/>
      <c r="D41" s="115"/>
      <c r="E41" s="115"/>
      <c r="F41" s="436">
        <f>SUM(F42:G51)</f>
        <v>292136.984</v>
      </c>
      <c r="G41" s="437"/>
      <c r="H41" s="117"/>
      <c r="I41" s="118"/>
      <c r="L41" s="120"/>
    </row>
    <row r="42" spans="1:12" s="119" customFormat="1" ht="15" customHeight="1">
      <c r="A42" s="34" t="s">
        <v>16</v>
      </c>
      <c r="B42" s="425" t="s">
        <v>769</v>
      </c>
      <c r="C42" s="425"/>
      <c r="D42" s="123" t="s">
        <v>265</v>
      </c>
      <c r="E42" s="123">
        <v>0.01</v>
      </c>
      <c r="F42" s="355">
        <v>979.4</v>
      </c>
      <c r="G42" s="355"/>
      <c r="H42" s="117"/>
      <c r="I42" s="118"/>
      <c r="L42" s="120"/>
    </row>
    <row r="43" spans="1:12" s="119" customFormat="1" ht="15" customHeight="1">
      <c r="A43" s="34" t="s">
        <v>18</v>
      </c>
      <c r="B43" s="425" t="s">
        <v>539</v>
      </c>
      <c r="C43" s="425"/>
      <c r="D43" s="123" t="s">
        <v>177</v>
      </c>
      <c r="E43" s="123">
        <v>700</v>
      </c>
      <c r="F43" s="438">
        <v>10835.57</v>
      </c>
      <c r="G43" s="438"/>
      <c r="H43" s="117"/>
      <c r="I43" s="118"/>
      <c r="L43" s="120"/>
    </row>
    <row r="44" spans="1:12" ht="15">
      <c r="A44" s="34" t="s">
        <v>20</v>
      </c>
      <c r="B44" s="425" t="s">
        <v>770</v>
      </c>
      <c r="C44" s="425"/>
      <c r="D44" s="123" t="s">
        <v>265</v>
      </c>
      <c r="E44" s="123">
        <v>0.08</v>
      </c>
      <c r="F44" s="355">
        <v>5127</v>
      </c>
      <c r="G44" s="355"/>
      <c r="H44" s="40"/>
      <c r="I44" s="40"/>
      <c r="L44" s="124"/>
    </row>
    <row r="45" spans="1:12" ht="15">
      <c r="A45" s="34" t="s">
        <v>22</v>
      </c>
      <c r="B45" s="425" t="s">
        <v>534</v>
      </c>
      <c r="C45" s="425"/>
      <c r="D45" s="123" t="s">
        <v>269</v>
      </c>
      <c r="E45" s="123">
        <v>0.2</v>
      </c>
      <c r="F45" s="355">
        <v>67546</v>
      </c>
      <c r="G45" s="355"/>
      <c r="H45" s="40"/>
      <c r="I45" s="40"/>
      <c r="L45" s="124"/>
    </row>
    <row r="46" spans="1:9" ht="15">
      <c r="A46" s="34" t="s">
        <v>24</v>
      </c>
      <c r="B46" s="425" t="s">
        <v>535</v>
      </c>
      <c r="C46" s="425"/>
      <c r="D46" s="123" t="s">
        <v>269</v>
      </c>
      <c r="E46" s="123">
        <v>0.2</v>
      </c>
      <c r="F46" s="355">
        <v>67546</v>
      </c>
      <c r="G46" s="355"/>
      <c r="H46" s="40"/>
      <c r="I46" s="40"/>
    </row>
    <row r="47" spans="1:9" ht="15">
      <c r="A47" s="34" t="s">
        <v>106</v>
      </c>
      <c r="B47" s="425" t="s">
        <v>536</v>
      </c>
      <c r="C47" s="425"/>
      <c r="D47" s="123" t="s">
        <v>269</v>
      </c>
      <c r="E47" s="123">
        <v>0.2</v>
      </c>
      <c r="F47" s="355">
        <v>67546</v>
      </c>
      <c r="G47" s="355"/>
      <c r="H47" s="40"/>
      <c r="I47" s="40"/>
    </row>
    <row r="48" spans="1:9" ht="15">
      <c r="A48" s="34" t="s">
        <v>107</v>
      </c>
      <c r="B48" s="425" t="s">
        <v>537</v>
      </c>
      <c r="C48" s="425"/>
      <c r="D48" s="123" t="s">
        <v>173</v>
      </c>
      <c r="E48" s="123">
        <v>4</v>
      </c>
      <c r="F48" s="355">
        <v>3010.24</v>
      </c>
      <c r="G48" s="355"/>
      <c r="H48" s="40"/>
      <c r="I48" s="40"/>
    </row>
    <row r="49" spans="1:11" s="63" customFormat="1" ht="15">
      <c r="A49" s="34" t="s">
        <v>120</v>
      </c>
      <c r="B49" s="425" t="s">
        <v>538</v>
      </c>
      <c r="C49" s="425"/>
      <c r="D49" s="123" t="s">
        <v>265</v>
      </c>
      <c r="E49" s="123">
        <v>0.01</v>
      </c>
      <c r="F49" s="355">
        <v>798.31</v>
      </c>
      <c r="G49" s="355"/>
      <c r="H49" s="40"/>
      <c r="I49" s="40"/>
      <c r="J49" s="61"/>
      <c r="K49" s="61"/>
    </row>
    <row r="50" spans="1:11" s="63" customFormat="1" ht="15">
      <c r="A50" s="34" t="s">
        <v>121</v>
      </c>
      <c r="B50" s="425" t="s">
        <v>757</v>
      </c>
      <c r="C50" s="425"/>
      <c r="D50" s="123" t="s">
        <v>269</v>
      </c>
      <c r="E50" s="123">
        <v>0.2</v>
      </c>
      <c r="F50" s="438">
        <v>67546</v>
      </c>
      <c r="G50" s="438"/>
      <c r="H50" s="40"/>
      <c r="I50" s="40"/>
      <c r="J50" s="61"/>
      <c r="K50" s="61"/>
    </row>
    <row r="51" spans="1:11" s="71" customFormat="1" ht="15">
      <c r="A51" s="34" t="s">
        <v>122</v>
      </c>
      <c r="B51" s="428" t="s">
        <v>207</v>
      </c>
      <c r="C51" s="428"/>
      <c r="D51" s="129"/>
      <c r="E51" s="129"/>
      <c r="F51" s="355">
        <f>E26*1%</f>
        <v>1202.464</v>
      </c>
      <c r="G51" s="355"/>
      <c r="H51" s="63"/>
      <c r="I51" s="63"/>
      <c r="J51" s="63"/>
      <c r="K51" s="63"/>
    </row>
    <row r="52" s="63" customFormat="1" ht="9" customHeight="1"/>
    <row r="53" spans="1:11" s="63" customFormat="1" ht="15">
      <c r="A53" s="71" t="s">
        <v>55</v>
      </c>
      <c r="B53" s="71"/>
      <c r="C53" s="131" t="s">
        <v>49</v>
      </c>
      <c r="D53" s="71"/>
      <c r="E53" s="71"/>
      <c r="F53" s="71" t="s">
        <v>93</v>
      </c>
      <c r="G53" s="71"/>
      <c r="H53" s="71"/>
      <c r="I53" s="71"/>
      <c r="J53" s="71"/>
      <c r="K53" s="71"/>
    </row>
    <row r="54" spans="1:7" s="63" customFormat="1" ht="15">
      <c r="A54" s="71"/>
      <c r="B54" s="71"/>
      <c r="C54" s="131"/>
      <c r="D54" s="71"/>
      <c r="E54" s="71"/>
      <c r="F54" s="132" t="s">
        <v>296</v>
      </c>
      <c r="G54" s="71"/>
    </row>
    <row r="55" spans="1:10" s="63" customFormat="1" ht="15">
      <c r="A55" s="71" t="s">
        <v>50</v>
      </c>
      <c r="B55" s="71"/>
      <c r="C55" s="131"/>
      <c r="D55" s="71"/>
      <c r="E55" s="71"/>
      <c r="F55" s="71"/>
      <c r="G55" s="71"/>
      <c r="H55" s="164"/>
      <c r="I55" s="164"/>
      <c r="J55" s="164"/>
    </row>
    <row r="56" spans="1:11" ht="15">
      <c r="A56" s="71"/>
      <c r="B56" s="71"/>
      <c r="C56" s="133" t="s">
        <v>51</v>
      </c>
      <c r="D56" s="71"/>
      <c r="E56" s="134"/>
      <c r="F56" s="134"/>
      <c r="G56" s="134"/>
      <c r="H56" s="63"/>
      <c r="I56" s="63"/>
      <c r="J56" s="63"/>
      <c r="K56" s="63"/>
    </row>
    <row r="57" spans="1:11" ht="12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</row>
  </sheetData>
  <sheetProtection/>
  <mergeCells count="34">
    <mergeCell ref="B51:C51"/>
    <mergeCell ref="F51:G51"/>
    <mergeCell ref="B46:C46"/>
    <mergeCell ref="F46:G46"/>
    <mergeCell ref="B49:C49"/>
    <mergeCell ref="F49:G49"/>
    <mergeCell ref="B47:C47"/>
    <mergeCell ref="B48:C48"/>
    <mergeCell ref="F47:G47"/>
    <mergeCell ref="F48:G48"/>
    <mergeCell ref="A11:K11"/>
    <mergeCell ref="A12:C12"/>
    <mergeCell ref="A34:C34"/>
    <mergeCell ref="B40:C40"/>
    <mergeCell ref="F40:G40"/>
    <mergeCell ref="A38:G38"/>
    <mergeCell ref="B44:C44"/>
    <mergeCell ref="F44:G44"/>
    <mergeCell ref="B45:C45"/>
    <mergeCell ref="F45:G45"/>
    <mergeCell ref="B42:C42"/>
    <mergeCell ref="B43:C43"/>
    <mergeCell ref="F42:G42"/>
    <mergeCell ref="F43:G43"/>
    <mergeCell ref="B50:C50"/>
    <mergeCell ref="F50:G50"/>
    <mergeCell ref="A10:K10"/>
    <mergeCell ref="A1:K1"/>
    <mergeCell ref="A2:K2"/>
    <mergeCell ref="A3:K3"/>
    <mergeCell ref="A5:K5"/>
    <mergeCell ref="A9:K9"/>
    <mergeCell ref="B41:C41"/>
    <mergeCell ref="F41:G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7030A0"/>
  </sheetPr>
  <dimension ref="A1:K48"/>
  <sheetViews>
    <sheetView zoomScalePageLayoutView="0" workbookViewId="0" topLeftCell="A1">
      <selection activeCell="G36" sqref="G36"/>
    </sheetView>
  </sheetViews>
  <sheetFormatPr defaultColWidth="9.140625" defaultRowHeight="15" outlineLevelCol="1"/>
  <cols>
    <col min="1" max="1" width="5.421875" style="61" customWidth="1"/>
    <col min="2" max="2" width="48.8515625" style="61" customWidth="1"/>
    <col min="3" max="3" width="14.28125" style="61" customWidth="1"/>
    <col min="4" max="4" width="14.8515625" style="61" customWidth="1"/>
    <col min="5" max="5" width="13.140625" style="61" customWidth="1"/>
    <col min="6" max="6" width="15.7109375" style="61" customWidth="1"/>
    <col min="7" max="7" width="14.57421875" style="61" customWidth="1"/>
    <col min="8" max="9" width="11.57421875" style="61" hidden="1" customWidth="1" outlineLevel="1"/>
    <col min="10" max="10" width="9.140625" style="61" customWidth="1" collapsed="1"/>
    <col min="11" max="16384" width="9.140625" style="61" customWidth="1"/>
  </cols>
  <sheetData>
    <row r="1" spans="1:9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</row>
    <row r="3" spans="1:9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</row>
    <row r="4" spans="1:9" ht="9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</row>
    <row r="7" spans="1:8" s="63" customFormat="1" ht="16.5" customHeight="1">
      <c r="A7" s="63" t="s">
        <v>2</v>
      </c>
      <c r="F7" s="64" t="s">
        <v>166</v>
      </c>
      <c r="H7" s="64"/>
    </row>
    <row r="8" spans="1:8" s="63" customFormat="1" ht="12.75">
      <c r="A8" s="63" t="s">
        <v>3</v>
      </c>
      <c r="F8" s="64" t="s">
        <v>626</v>
      </c>
      <c r="H8" s="64"/>
    </row>
    <row r="9" spans="1:9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</row>
    <row r="10" spans="1:9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</row>
    <row r="11" spans="1:9" s="63" customFormat="1" ht="15.75" customHeight="1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6.5" customHeight="1" thickBot="1">
      <c r="A12" s="319" t="s">
        <v>419</v>
      </c>
      <c r="B12" s="320"/>
      <c r="C12" s="320"/>
      <c r="D12" s="51">
        <v>47887.42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'[1]Дорожная 11 корп1'!$G$36</f>
        <v>41501.4929</v>
      </c>
      <c r="H14" s="66"/>
      <c r="I14" s="66"/>
    </row>
    <row r="15" s="63" customFormat="1" ht="6.75" customHeight="1"/>
    <row r="16" spans="1:7" s="78" customFormat="1" ht="52.5" customHeight="1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540</v>
      </c>
    </row>
    <row r="17" spans="1:11" s="63" customFormat="1" ht="14.25">
      <c r="A17" s="79" t="s">
        <v>14</v>
      </c>
      <c r="B17" s="41" t="s">
        <v>15</v>
      </c>
      <c r="C17" s="46">
        <f>C18+C19+C20+C21</f>
        <v>9.01</v>
      </c>
      <c r="D17" s="80">
        <v>276837.72</v>
      </c>
      <c r="E17" s="80">
        <v>277515.44</v>
      </c>
      <c r="F17" s="80">
        <f aca="true" t="shared" si="0" ref="F17:F24">D17</f>
        <v>276837.72</v>
      </c>
      <c r="G17" s="81">
        <f>E17-D17</f>
        <v>677.7200000000303</v>
      </c>
      <c r="H17" s="82">
        <f aca="true" t="shared" si="1" ref="H17:H22">C17</f>
        <v>9.01</v>
      </c>
      <c r="I17" s="83"/>
      <c r="J17" s="83"/>
      <c r="K17" s="83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102623.52772475027</v>
      </c>
      <c r="E18" s="87">
        <f>E17*I18</f>
        <v>102874.75800221977</v>
      </c>
      <c r="F18" s="87">
        <f t="shared" si="0"/>
        <v>102623.52772475027</v>
      </c>
      <c r="G18" s="88">
        <f aca="true" t="shared" si="2" ref="G18:G27">E18-D18</f>
        <v>251.2302774694981</v>
      </c>
      <c r="H18" s="82">
        <f t="shared" si="1"/>
        <v>3.34</v>
      </c>
      <c r="I18" s="63">
        <f>H18/H17</f>
        <v>0.3706992230854606</v>
      </c>
    </row>
    <row r="19" spans="1:9" s="63" customFormat="1" ht="15">
      <c r="A19" s="85" t="s">
        <v>18</v>
      </c>
      <c r="B19" s="34" t="s">
        <v>19</v>
      </c>
      <c r="C19" s="89">
        <v>1.63</v>
      </c>
      <c r="D19" s="87">
        <f>D17*I19</f>
        <v>50082.73957824638</v>
      </c>
      <c r="E19" s="87">
        <f>E17*I19</f>
        <v>50205.34597114317</v>
      </c>
      <c r="F19" s="87">
        <f t="shared" si="0"/>
        <v>50082.73957824638</v>
      </c>
      <c r="G19" s="88">
        <f t="shared" si="2"/>
        <v>122.60639289679239</v>
      </c>
      <c r="H19" s="82">
        <f t="shared" si="1"/>
        <v>1.63</v>
      </c>
      <c r="I19" s="63">
        <f>H19/H17</f>
        <v>0.1809100998890122</v>
      </c>
    </row>
    <row r="20" spans="1:9" s="63" customFormat="1" ht="15">
      <c r="A20" s="85" t="s">
        <v>20</v>
      </c>
      <c r="B20" s="34" t="s">
        <v>21</v>
      </c>
      <c r="C20" s="89">
        <v>1.11</v>
      </c>
      <c r="D20" s="87">
        <f>D17*I20</f>
        <v>34105.423884572694</v>
      </c>
      <c r="E20" s="87">
        <f>E17*I20</f>
        <v>34188.91658157603</v>
      </c>
      <c r="F20" s="87">
        <f t="shared" si="0"/>
        <v>34105.423884572694</v>
      </c>
      <c r="G20" s="88">
        <f t="shared" si="2"/>
        <v>83.49269700333389</v>
      </c>
      <c r="H20" s="82">
        <f t="shared" si="1"/>
        <v>1.11</v>
      </c>
      <c r="I20" s="63">
        <f>H20/H17</f>
        <v>0.12319644839067703</v>
      </c>
    </row>
    <row r="21" spans="1:9" s="63" customFormat="1" ht="14.25" customHeight="1">
      <c r="A21" s="85" t="s">
        <v>22</v>
      </c>
      <c r="B21" s="34" t="s">
        <v>23</v>
      </c>
      <c r="C21" s="89">
        <v>2.93</v>
      </c>
      <c r="D21" s="87">
        <f>D17*I21</f>
        <v>90026.02881243064</v>
      </c>
      <c r="E21" s="87">
        <f>E17*I21</f>
        <v>90246.41944506105</v>
      </c>
      <c r="F21" s="87">
        <f t="shared" si="0"/>
        <v>90026.02881243064</v>
      </c>
      <c r="G21" s="88">
        <f t="shared" si="2"/>
        <v>220.39063263041317</v>
      </c>
      <c r="H21" s="82">
        <f t="shared" si="1"/>
        <v>2.93</v>
      </c>
      <c r="I21" s="63">
        <f>H21/H17</f>
        <v>0.3251942286348502</v>
      </c>
    </row>
    <row r="22" spans="1:8" s="63" customFormat="1" ht="14.25" customHeight="1">
      <c r="A22" s="85" t="s">
        <v>24</v>
      </c>
      <c r="B22" s="34" t="s">
        <v>627</v>
      </c>
      <c r="C22" s="86">
        <v>2.51</v>
      </c>
      <c r="D22" s="87">
        <v>76878.48</v>
      </c>
      <c r="E22" s="87">
        <v>76698.9</v>
      </c>
      <c r="F22" s="87">
        <f>D22</f>
        <v>76878.48</v>
      </c>
      <c r="G22" s="88">
        <f>E22-D22</f>
        <v>-179.58000000000175</v>
      </c>
      <c r="H22" s="82">
        <f t="shared" si="1"/>
        <v>2.51</v>
      </c>
    </row>
    <row r="23" spans="1:11" s="93" customFormat="1" ht="14.25">
      <c r="A23" s="90" t="s">
        <v>25</v>
      </c>
      <c r="B23" s="90" t="s">
        <v>26</v>
      </c>
      <c r="C23" s="46">
        <v>3.72</v>
      </c>
      <c r="D23" s="91">
        <v>113683.92</v>
      </c>
      <c r="E23" s="91">
        <v>113948.37</v>
      </c>
      <c r="F23" s="91">
        <f t="shared" si="0"/>
        <v>113683.92</v>
      </c>
      <c r="G23" s="91">
        <f t="shared" si="2"/>
        <v>264.4499999999971</v>
      </c>
      <c r="H23" s="92"/>
      <c r="I23" s="92"/>
      <c r="J23" s="92"/>
      <c r="K23" s="92"/>
    </row>
    <row r="24" spans="1:11" s="93" customFormat="1" ht="14.25">
      <c r="A24" s="90" t="s">
        <v>27</v>
      </c>
      <c r="B24" s="90" t="s">
        <v>28</v>
      </c>
      <c r="C24" s="46"/>
      <c r="D24" s="91">
        <v>0</v>
      </c>
      <c r="E24" s="91">
        <v>0</v>
      </c>
      <c r="F24" s="91">
        <f t="shared" si="0"/>
        <v>0</v>
      </c>
      <c r="G24" s="91">
        <f t="shared" si="2"/>
        <v>0</v>
      </c>
      <c r="H24" s="92"/>
      <c r="I24" s="92"/>
      <c r="J24" s="92"/>
      <c r="K24" s="92"/>
    </row>
    <row r="25" spans="1:11" s="93" customFormat="1" ht="14.25">
      <c r="A25" s="90" t="s">
        <v>29</v>
      </c>
      <c r="B25" s="90" t="s">
        <v>170</v>
      </c>
      <c r="C25" s="46">
        <v>39.62</v>
      </c>
      <c r="D25" s="91">
        <v>0</v>
      </c>
      <c r="E25" s="91">
        <v>0</v>
      </c>
      <c r="F25" s="91">
        <f>D25</f>
        <v>0</v>
      </c>
      <c r="G25" s="91">
        <f t="shared" si="2"/>
        <v>0</v>
      </c>
      <c r="H25" s="92"/>
      <c r="I25" s="92"/>
      <c r="J25" s="92"/>
      <c r="K25" s="92"/>
    </row>
    <row r="26" spans="1:11" s="93" customFormat="1" ht="14.25">
      <c r="A26" s="90" t="s">
        <v>31</v>
      </c>
      <c r="B26" s="90" t="s">
        <v>119</v>
      </c>
      <c r="C26" s="99">
        <v>1.61</v>
      </c>
      <c r="D26" s="91">
        <v>49312.56</v>
      </c>
      <c r="E26" s="91">
        <v>49432.54</v>
      </c>
      <c r="F26" s="91">
        <f>F41</f>
        <v>494.3254</v>
      </c>
      <c r="G26" s="91">
        <f>E26-D26</f>
        <v>119.9800000000032</v>
      </c>
      <c r="H26" s="92"/>
      <c r="I26" s="92"/>
      <c r="J26" s="92"/>
      <c r="K26" s="92"/>
    </row>
    <row r="27" spans="1:11" ht="14.25">
      <c r="A27" s="41" t="s">
        <v>33</v>
      </c>
      <c r="B27" s="41" t="s">
        <v>34</v>
      </c>
      <c r="C27" s="101">
        <v>0</v>
      </c>
      <c r="D27" s="81">
        <v>0</v>
      </c>
      <c r="E27" s="81">
        <v>0</v>
      </c>
      <c r="F27" s="91">
        <v>0</v>
      </c>
      <c r="G27" s="81">
        <f t="shared" si="2"/>
        <v>0</v>
      </c>
      <c r="H27" s="102"/>
      <c r="I27" s="102"/>
      <c r="J27" s="102"/>
      <c r="K27" s="102"/>
    </row>
    <row r="28" spans="1:11" ht="14.25">
      <c r="A28" s="41" t="s">
        <v>35</v>
      </c>
      <c r="B28" s="41" t="s">
        <v>36</v>
      </c>
      <c r="C28" s="101">
        <v>0</v>
      </c>
      <c r="D28" s="81">
        <f>SUM(D29:D32)</f>
        <v>261627.00999999998</v>
      </c>
      <c r="E28" s="81">
        <f>SUM(E29:E32)</f>
        <v>266610.95999999996</v>
      </c>
      <c r="F28" s="81">
        <f>SUM(F29:F32)</f>
        <v>261627.00999999998</v>
      </c>
      <c r="G28" s="81">
        <f>SUM(G29:G32)</f>
        <v>4983.950000000004</v>
      </c>
      <c r="H28" s="102"/>
      <c r="I28" s="102"/>
      <c r="J28" s="102"/>
      <c r="K28" s="102"/>
    </row>
    <row r="29" spans="1:7" ht="15">
      <c r="A29" s="34" t="s">
        <v>37</v>
      </c>
      <c r="B29" s="34" t="s">
        <v>174</v>
      </c>
      <c r="C29" s="103" t="s">
        <v>408</v>
      </c>
      <c r="D29" s="88">
        <v>52629.77</v>
      </c>
      <c r="E29" s="88">
        <v>52369.28</v>
      </c>
      <c r="F29" s="88">
        <f>D29</f>
        <v>52629.77</v>
      </c>
      <c r="G29" s="88">
        <f>E29-D29</f>
        <v>-260.48999999999796</v>
      </c>
    </row>
    <row r="30" spans="1:7" ht="15">
      <c r="A30" s="34" t="s">
        <v>39</v>
      </c>
      <c r="B30" s="34" t="s">
        <v>142</v>
      </c>
      <c r="C30" s="103" t="s">
        <v>315</v>
      </c>
      <c r="D30" s="88">
        <v>208997.24</v>
      </c>
      <c r="E30" s="88">
        <v>214241.68</v>
      </c>
      <c r="F30" s="88">
        <f>D30</f>
        <v>208997.24</v>
      </c>
      <c r="G30" s="88">
        <f>E30-D30</f>
        <v>5244.440000000002</v>
      </c>
    </row>
    <row r="31" spans="1:7" ht="15">
      <c r="A31" s="34" t="s">
        <v>42</v>
      </c>
      <c r="B31" s="34" t="s">
        <v>143</v>
      </c>
      <c r="C31" s="149"/>
      <c r="D31" s="88">
        <v>0</v>
      </c>
      <c r="E31" s="88">
        <v>0</v>
      </c>
      <c r="F31" s="88">
        <f>D31</f>
        <v>0</v>
      </c>
      <c r="G31" s="88">
        <f>E31-D31</f>
        <v>0</v>
      </c>
    </row>
    <row r="32" spans="1:7" ht="15">
      <c r="A32" s="34" t="s">
        <v>41</v>
      </c>
      <c r="B32" s="34" t="s">
        <v>43</v>
      </c>
      <c r="C32" s="149"/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s="106" customFormat="1" ht="8.25" customHeight="1" thickBot="1">
      <c r="A33" s="104"/>
      <c r="B33" s="104"/>
      <c r="C33" s="104"/>
      <c r="D33" s="105"/>
      <c r="E33" s="105"/>
      <c r="F33" s="105"/>
      <c r="G33" s="105"/>
      <c r="H33" s="105"/>
      <c r="I33" s="105"/>
    </row>
    <row r="34" spans="1:9" s="71" customFormat="1" ht="15.75" thickBot="1">
      <c r="A34" s="319" t="s">
        <v>420</v>
      </c>
      <c r="B34" s="320"/>
      <c r="C34" s="320"/>
      <c r="D34" s="69">
        <f>D12+D17+D24+D25+D26+D27+D28+D23+D22-E22-E17-E24-E25-E26-E27-E28-E23</f>
        <v>42020.90000000002</v>
      </c>
      <c r="E34" s="70"/>
      <c r="F34" s="70"/>
      <c r="G34" s="70"/>
      <c r="H34" s="66"/>
      <c r="I34" s="66"/>
    </row>
    <row r="35" spans="1:9" s="71" customFormat="1" ht="9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558</v>
      </c>
      <c r="B36" s="68"/>
      <c r="C36" s="68"/>
      <c r="D36" s="73"/>
      <c r="E36" s="74"/>
      <c r="F36" s="74"/>
      <c r="G36" s="151">
        <f>G14+E26-F26</f>
        <v>90439.70749999999</v>
      </c>
      <c r="H36" s="66"/>
      <c r="I36" s="66"/>
    </row>
    <row r="37" spans="1:11" s="106" customFormat="1" ht="13.5">
      <c r="A37" s="108"/>
      <c r="B37" s="108"/>
      <c r="C37" s="108"/>
      <c r="D37" s="108"/>
      <c r="E37" s="105"/>
      <c r="F37" s="105"/>
      <c r="G37" s="105"/>
      <c r="H37" s="105"/>
      <c r="I37" s="105"/>
      <c r="J37" s="105"/>
      <c r="K37" s="105"/>
    </row>
    <row r="38" spans="1:11" ht="28.5" customHeight="1">
      <c r="A38" s="321" t="s">
        <v>196</v>
      </c>
      <c r="B38" s="321"/>
      <c r="C38" s="321"/>
      <c r="D38" s="321"/>
      <c r="E38" s="321"/>
      <c r="F38" s="321"/>
      <c r="G38" s="321"/>
      <c r="H38" s="154"/>
      <c r="I38" s="154"/>
      <c r="J38" s="154"/>
      <c r="K38" s="154"/>
    </row>
    <row r="40" spans="1:7" s="78" customFormat="1" ht="28.5">
      <c r="A40" s="109" t="s">
        <v>11</v>
      </c>
      <c r="B40" s="340" t="s">
        <v>45</v>
      </c>
      <c r="C40" s="352"/>
      <c r="D40" s="109" t="s">
        <v>172</v>
      </c>
      <c r="E40" s="109" t="s">
        <v>171</v>
      </c>
      <c r="F40" s="340" t="s">
        <v>46</v>
      </c>
      <c r="G40" s="352"/>
    </row>
    <row r="41" spans="1:7" s="119" customFormat="1" ht="15">
      <c r="A41" s="113" t="s">
        <v>47</v>
      </c>
      <c r="B41" s="342" t="s">
        <v>114</v>
      </c>
      <c r="C41" s="345"/>
      <c r="D41" s="115"/>
      <c r="E41" s="115"/>
      <c r="F41" s="356">
        <f>SUM(F42:G42)</f>
        <v>494.3254</v>
      </c>
      <c r="G41" s="351"/>
    </row>
    <row r="42" spans="1:9" s="63" customFormat="1" ht="15">
      <c r="A42" s="34" t="s">
        <v>16</v>
      </c>
      <c r="B42" s="364" t="s">
        <v>207</v>
      </c>
      <c r="C42" s="365"/>
      <c r="D42" s="129"/>
      <c r="E42" s="129"/>
      <c r="F42" s="355">
        <f>E26*1%</f>
        <v>494.3254</v>
      </c>
      <c r="G42" s="355"/>
      <c r="H42" s="61"/>
      <c r="I42" s="61"/>
    </row>
    <row r="43" s="63" customFormat="1" ht="12.75"/>
    <row r="44" spans="1:11" s="63" customFormat="1" ht="15">
      <c r="A44" s="71" t="s">
        <v>55</v>
      </c>
      <c r="B44" s="71"/>
      <c r="C44" s="131" t="s">
        <v>49</v>
      </c>
      <c r="D44" s="71"/>
      <c r="E44" s="71"/>
      <c r="F44" s="71" t="s">
        <v>93</v>
      </c>
      <c r="G44" s="71"/>
      <c r="H44" s="71"/>
      <c r="I44" s="71"/>
      <c r="J44" s="71"/>
      <c r="K44" s="71"/>
    </row>
    <row r="45" spans="1:11" ht="15">
      <c r="A45" s="71"/>
      <c r="B45" s="71"/>
      <c r="C45" s="131"/>
      <c r="D45" s="71"/>
      <c r="E45" s="71"/>
      <c r="F45" s="132" t="s">
        <v>296</v>
      </c>
      <c r="G45" s="71"/>
      <c r="H45" s="63"/>
      <c r="I45" s="63"/>
      <c r="J45" s="63"/>
      <c r="K45" s="63"/>
    </row>
    <row r="46" spans="1:11" ht="15">
      <c r="A46" s="71" t="s">
        <v>50</v>
      </c>
      <c r="B46" s="71"/>
      <c r="C46" s="131"/>
      <c r="D46" s="71"/>
      <c r="E46" s="71"/>
      <c r="F46" s="71"/>
      <c r="G46" s="71"/>
      <c r="H46" s="164"/>
      <c r="I46" s="164"/>
      <c r="J46" s="164"/>
      <c r="K46" s="63"/>
    </row>
    <row r="47" spans="1:11" ht="15">
      <c r="A47" s="71"/>
      <c r="B47" s="133"/>
      <c r="C47" s="133" t="s">
        <v>51</v>
      </c>
      <c r="D47" s="134"/>
      <c r="E47" s="134"/>
      <c r="F47" s="71"/>
      <c r="G47" s="71"/>
      <c r="H47" s="164"/>
      <c r="I47" s="164"/>
      <c r="J47" s="164"/>
      <c r="K47" s="63"/>
    </row>
    <row r="48" spans="1:11" ht="15">
      <c r="A48" s="71"/>
      <c r="B48" s="133"/>
      <c r="C48" s="133"/>
      <c r="D48" s="134"/>
      <c r="E48" s="134"/>
      <c r="F48" s="71"/>
      <c r="G48" s="71"/>
      <c r="H48" s="164"/>
      <c r="I48" s="164"/>
      <c r="J48" s="164"/>
      <c r="K48" s="63"/>
    </row>
  </sheetData>
  <sheetProtection/>
  <mergeCells count="16">
    <mergeCell ref="A12:C12"/>
    <mergeCell ref="A34:C34"/>
    <mergeCell ref="B40:C40"/>
    <mergeCell ref="F40:G40"/>
    <mergeCell ref="B42:C42"/>
    <mergeCell ref="F42:G42"/>
    <mergeCell ref="B41:C41"/>
    <mergeCell ref="F41:G41"/>
    <mergeCell ref="A38:G38"/>
    <mergeCell ref="A11:I11"/>
    <mergeCell ref="A10:I10"/>
    <mergeCell ref="A1:I1"/>
    <mergeCell ref="A2:I2"/>
    <mergeCell ref="A3:I3"/>
    <mergeCell ref="A5:I5"/>
    <mergeCell ref="A9:I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7030A0"/>
  </sheetPr>
  <dimension ref="A1:K48"/>
  <sheetViews>
    <sheetView zoomScalePageLayoutView="0" workbookViewId="0" topLeftCell="A2">
      <selection activeCell="G36" sqref="G36"/>
    </sheetView>
  </sheetViews>
  <sheetFormatPr defaultColWidth="9.140625" defaultRowHeight="15" outlineLevelCol="1"/>
  <cols>
    <col min="1" max="1" width="6.00390625" style="61" customWidth="1"/>
    <col min="2" max="2" width="52.140625" style="61" customWidth="1"/>
    <col min="3" max="3" width="12.28125" style="61" customWidth="1"/>
    <col min="4" max="4" width="14.8515625" style="61" customWidth="1"/>
    <col min="5" max="5" width="12.57421875" style="61" customWidth="1"/>
    <col min="6" max="6" width="15.00390625" style="61" customWidth="1"/>
    <col min="7" max="7" width="14.57421875" style="61" customWidth="1"/>
    <col min="8" max="9" width="11.57421875" style="61" hidden="1" customWidth="1" outlineLevel="1"/>
    <col min="10" max="10" width="10.00390625" style="61" bestFit="1" customWidth="1" collapsed="1"/>
    <col min="11" max="11" width="15.8515625" style="61" customWidth="1"/>
    <col min="12" max="16384" width="9.140625" style="61" customWidth="1"/>
  </cols>
  <sheetData>
    <row r="1" spans="1:9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</row>
    <row r="3" spans="1:9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</row>
    <row r="4" spans="1:9" ht="9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</row>
    <row r="7" spans="1:8" s="63" customFormat="1" ht="16.5" customHeight="1">
      <c r="A7" s="63" t="s">
        <v>2</v>
      </c>
      <c r="F7" s="64" t="s">
        <v>167</v>
      </c>
      <c r="H7" s="64"/>
    </row>
    <row r="8" spans="1:8" s="63" customFormat="1" ht="12.75">
      <c r="A8" s="63" t="s">
        <v>3</v>
      </c>
      <c r="F8" s="64" t="s">
        <v>168</v>
      </c>
      <c r="H8" s="64"/>
    </row>
    <row r="9" spans="1:9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</row>
    <row r="10" spans="1:9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</row>
    <row r="11" spans="1:9" s="63" customFormat="1" ht="15.75" customHeight="1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6.5" customHeight="1" thickBot="1">
      <c r="A12" s="319" t="s">
        <v>419</v>
      </c>
      <c r="B12" s="320"/>
      <c r="C12" s="320"/>
      <c r="D12" s="51">
        <v>13506.21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'[1]Дорожная 11 корп2'!$G$36</f>
        <v>59731.394799999995</v>
      </c>
      <c r="H14" s="66"/>
      <c r="I14" s="66"/>
    </row>
    <row r="15" s="63" customFormat="1" ht="6.75" customHeight="1"/>
    <row r="16" spans="1:7" s="78" customFormat="1" ht="52.5" customHeight="1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299</v>
      </c>
    </row>
    <row r="17" spans="1:11" s="63" customFormat="1" ht="14.25">
      <c r="A17" s="79" t="s">
        <v>14</v>
      </c>
      <c r="B17" s="41" t="s">
        <v>15</v>
      </c>
      <c r="C17" s="46">
        <f>C18+C19+C20+C21</f>
        <v>9.01</v>
      </c>
      <c r="D17" s="80">
        <v>312279.48</v>
      </c>
      <c r="E17" s="80">
        <v>310454.6</v>
      </c>
      <c r="F17" s="80">
        <f aca="true" t="shared" si="0" ref="F17:F23">D17</f>
        <v>312279.48</v>
      </c>
      <c r="G17" s="81">
        <f>E17-D17</f>
        <v>-1824.8800000000047</v>
      </c>
      <c r="H17" s="82">
        <f aca="true" t="shared" si="1" ref="H17:H22">C17</f>
        <v>9.01</v>
      </c>
      <c r="J17" s="82"/>
      <c r="K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115761.76062153163</v>
      </c>
      <c r="E18" s="87">
        <f>E17*I18</f>
        <v>115085.27902330743</v>
      </c>
      <c r="F18" s="87">
        <f t="shared" si="0"/>
        <v>115761.76062153163</v>
      </c>
      <c r="G18" s="88">
        <f aca="true" t="shared" si="2" ref="G18:G27">E18-D18</f>
        <v>-676.4815982241998</v>
      </c>
      <c r="H18" s="82">
        <f t="shared" si="1"/>
        <v>3.34</v>
      </c>
      <c r="I18" s="63">
        <f>H18/H17</f>
        <v>0.3706992230854606</v>
      </c>
    </row>
    <row r="19" spans="1:9" s="63" customFormat="1" ht="15">
      <c r="A19" s="85" t="s">
        <v>18</v>
      </c>
      <c r="B19" s="34" t="s">
        <v>19</v>
      </c>
      <c r="C19" s="89">
        <v>1.63</v>
      </c>
      <c r="D19" s="87">
        <f>D17*I19</f>
        <v>56494.51192008878</v>
      </c>
      <c r="E19" s="87">
        <f>E17*I19</f>
        <v>56164.37269700332</v>
      </c>
      <c r="F19" s="87">
        <f t="shared" si="0"/>
        <v>56494.51192008878</v>
      </c>
      <c r="G19" s="88">
        <f t="shared" si="2"/>
        <v>-330.1392230854617</v>
      </c>
      <c r="H19" s="82">
        <f t="shared" si="1"/>
        <v>1.63</v>
      </c>
      <c r="I19" s="63">
        <f>H19/H17</f>
        <v>0.1809100998890122</v>
      </c>
    </row>
    <row r="20" spans="1:9" s="63" customFormat="1" ht="15">
      <c r="A20" s="85" t="s">
        <v>20</v>
      </c>
      <c r="B20" s="34" t="s">
        <v>21</v>
      </c>
      <c r="C20" s="89">
        <v>1.11</v>
      </c>
      <c r="D20" s="87">
        <f>D17*I20</f>
        <v>38471.72284128746</v>
      </c>
      <c r="E20" s="87">
        <f>E17*I20</f>
        <v>38246.90410654828</v>
      </c>
      <c r="F20" s="87">
        <f t="shared" si="0"/>
        <v>38471.72284128746</v>
      </c>
      <c r="G20" s="88">
        <f t="shared" si="2"/>
        <v>-224.8187347391795</v>
      </c>
      <c r="H20" s="82">
        <f t="shared" si="1"/>
        <v>1.11</v>
      </c>
      <c r="I20" s="63">
        <f>H20/H17</f>
        <v>0.12319644839067703</v>
      </c>
    </row>
    <row r="21" spans="1:9" s="63" customFormat="1" ht="15">
      <c r="A21" s="85" t="s">
        <v>22</v>
      </c>
      <c r="B21" s="34" t="s">
        <v>23</v>
      </c>
      <c r="C21" s="89">
        <v>2.93</v>
      </c>
      <c r="D21" s="87">
        <f>D17*I21</f>
        <v>101551.48461709212</v>
      </c>
      <c r="E21" s="87">
        <f>E17*I21</f>
        <v>100958.04417314095</v>
      </c>
      <c r="F21" s="87">
        <f t="shared" si="0"/>
        <v>101551.48461709212</v>
      </c>
      <c r="G21" s="88">
        <f t="shared" si="2"/>
        <v>-593.4404439511709</v>
      </c>
      <c r="H21" s="82">
        <f t="shared" si="1"/>
        <v>2.93</v>
      </c>
      <c r="I21" s="63">
        <f>H21/H17</f>
        <v>0.3251942286348502</v>
      </c>
    </row>
    <row r="22" spans="1:8" s="63" customFormat="1" ht="15">
      <c r="A22" s="85" t="s">
        <v>24</v>
      </c>
      <c r="B22" s="34" t="s">
        <v>197</v>
      </c>
      <c r="C22" s="101">
        <v>2.51</v>
      </c>
      <c r="D22" s="80">
        <v>86752.08</v>
      </c>
      <c r="E22" s="80">
        <v>86664.14</v>
      </c>
      <c r="F22" s="80">
        <f t="shared" si="0"/>
        <v>86752.08</v>
      </c>
      <c r="G22" s="81">
        <f t="shared" si="2"/>
        <v>-87.94000000000233</v>
      </c>
      <c r="H22" s="82">
        <f t="shared" si="1"/>
        <v>2.51</v>
      </c>
    </row>
    <row r="23" spans="1:7" s="93" customFormat="1" ht="14.25">
      <c r="A23" s="90" t="s">
        <v>25</v>
      </c>
      <c r="B23" s="90" t="s">
        <v>26</v>
      </c>
      <c r="C23" s="46">
        <v>3.72</v>
      </c>
      <c r="D23" s="91">
        <v>128572.32</v>
      </c>
      <c r="E23" s="91">
        <v>128349.79</v>
      </c>
      <c r="F23" s="91">
        <f t="shared" si="0"/>
        <v>128572.32</v>
      </c>
      <c r="G23" s="91">
        <f t="shared" si="2"/>
        <v>-222.5300000000134</v>
      </c>
    </row>
    <row r="24" spans="1:7" s="93" customFormat="1" ht="14.25">
      <c r="A24" s="90" t="s">
        <v>27</v>
      </c>
      <c r="B24" s="90" t="s">
        <v>28</v>
      </c>
      <c r="C24" s="46"/>
      <c r="D24" s="91">
        <v>0</v>
      </c>
      <c r="E24" s="91">
        <v>0</v>
      </c>
      <c r="F24" s="91">
        <f>D24</f>
        <v>0</v>
      </c>
      <c r="G24" s="91">
        <f t="shared" si="2"/>
        <v>0</v>
      </c>
    </row>
    <row r="25" spans="1:7" s="93" customFormat="1" ht="14.25">
      <c r="A25" s="90" t="s">
        <v>29</v>
      </c>
      <c r="B25" s="90" t="s">
        <v>170</v>
      </c>
      <c r="C25" s="46">
        <v>39.62</v>
      </c>
      <c r="D25" s="94">
        <v>0</v>
      </c>
      <c r="E25" s="94">
        <v>0</v>
      </c>
      <c r="F25" s="94">
        <f>D25</f>
        <v>0</v>
      </c>
      <c r="G25" s="91">
        <f t="shared" si="2"/>
        <v>0</v>
      </c>
    </row>
    <row r="26" spans="1:7" s="93" customFormat="1" ht="14.25">
      <c r="A26" s="90" t="s">
        <v>31</v>
      </c>
      <c r="B26" s="90" t="s">
        <v>119</v>
      </c>
      <c r="C26" s="99">
        <v>1.61</v>
      </c>
      <c r="D26" s="91">
        <v>55645.92</v>
      </c>
      <c r="E26" s="91">
        <v>55556.34</v>
      </c>
      <c r="F26" s="91">
        <f>F41</f>
        <v>5822.7134</v>
      </c>
      <c r="G26" s="91">
        <f>E26-D26</f>
        <v>-89.58000000000175</v>
      </c>
    </row>
    <row r="27" spans="1:7" ht="14.25">
      <c r="A27" s="41" t="s">
        <v>33</v>
      </c>
      <c r="B27" s="41" t="s">
        <v>34</v>
      </c>
      <c r="C27" s="101">
        <v>0</v>
      </c>
      <c r="D27" s="81">
        <v>0</v>
      </c>
      <c r="E27" s="81">
        <v>0</v>
      </c>
      <c r="F27" s="91">
        <v>0</v>
      </c>
      <c r="G27" s="81">
        <f t="shared" si="2"/>
        <v>0</v>
      </c>
    </row>
    <row r="28" spans="1:7" ht="14.25">
      <c r="A28" s="41" t="s">
        <v>35</v>
      </c>
      <c r="B28" s="41" t="s">
        <v>36</v>
      </c>
      <c r="C28" s="101">
        <v>0</v>
      </c>
      <c r="D28" s="81">
        <f>SUM(D29:D32)</f>
        <v>354505.25</v>
      </c>
      <c r="E28" s="81">
        <f>SUM(E29:E32)</f>
        <v>358038.05</v>
      </c>
      <c r="F28" s="81">
        <f>SUM(F29:F32)</f>
        <v>354505.25</v>
      </c>
      <c r="G28" s="81">
        <f>SUM(G29:G32)</f>
        <v>3532.799999999952</v>
      </c>
    </row>
    <row r="29" spans="1:7" ht="15">
      <c r="A29" s="34" t="s">
        <v>37</v>
      </c>
      <c r="B29" s="34" t="s">
        <v>174</v>
      </c>
      <c r="C29" s="103" t="s">
        <v>408</v>
      </c>
      <c r="D29" s="88">
        <v>61550.41</v>
      </c>
      <c r="E29" s="88">
        <v>61472.51</v>
      </c>
      <c r="F29" s="88">
        <f>D29</f>
        <v>61550.41</v>
      </c>
      <c r="G29" s="88">
        <f>E29-D29</f>
        <v>-77.90000000000146</v>
      </c>
    </row>
    <row r="30" spans="1:7" ht="15">
      <c r="A30" s="34" t="s">
        <v>39</v>
      </c>
      <c r="B30" s="34" t="s">
        <v>142</v>
      </c>
      <c r="C30" s="103" t="s">
        <v>324</v>
      </c>
      <c r="D30" s="88">
        <v>292954.84</v>
      </c>
      <c r="E30" s="88">
        <v>296565.54</v>
      </c>
      <c r="F30" s="88">
        <f>D30</f>
        <v>292954.84</v>
      </c>
      <c r="G30" s="88">
        <f>E30-D30</f>
        <v>3610.6999999999534</v>
      </c>
    </row>
    <row r="31" spans="1:7" ht="15">
      <c r="A31" s="34" t="s">
        <v>42</v>
      </c>
      <c r="B31" s="34" t="s">
        <v>143</v>
      </c>
      <c r="C31" s="149">
        <v>0</v>
      </c>
      <c r="D31" s="88">
        <v>0</v>
      </c>
      <c r="E31" s="88">
        <v>0</v>
      </c>
      <c r="F31" s="88">
        <f>D31</f>
        <v>0</v>
      </c>
      <c r="G31" s="88">
        <f>E31-D31</f>
        <v>0</v>
      </c>
    </row>
    <row r="32" spans="1:7" ht="15">
      <c r="A32" s="34" t="s">
        <v>41</v>
      </c>
      <c r="B32" s="34" t="s">
        <v>43</v>
      </c>
      <c r="C32" s="103">
        <v>0</v>
      </c>
      <c r="D32" s="88">
        <v>0</v>
      </c>
      <c r="E32" s="88">
        <v>0</v>
      </c>
      <c r="F32" s="88">
        <f>D32</f>
        <v>0</v>
      </c>
      <c r="G32" s="88">
        <f>E32-D32</f>
        <v>0</v>
      </c>
    </row>
    <row r="33" spans="1:9" s="106" customFormat="1" ht="14.25" thickBot="1">
      <c r="A33" s="104"/>
      <c r="B33" s="104"/>
      <c r="C33" s="104"/>
      <c r="D33" s="105"/>
      <c r="E33" s="105"/>
      <c r="F33" s="105"/>
      <c r="G33" s="105"/>
      <c r="H33" s="105"/>
      <c r="I33" s="105"/>
    </row>
    <row r="34" spans="1:9" s="71" customFormat="1" ht="15.75" thickBot="1">
      <c r="A34" s="319" t="s">
        <v>420</v>
      </c>
      <c r="B34" s="320"/>
      <c r="C34" s="320"/>
      <c r="D34" s="69">
        <f>D12+D17+D22+D23+D24+D25+D26+D27+D28-E17-E22-E23-E24-E25-E26-E27-E28</f>
        <v>12198.340000000142</v>
      </c>
      <c r="E34" s="70"/>
      <c r="F34" s="70"/>
      <c r="G34" s="70"/>
      <c r="H34" s="66"/>
      <c r="I34" s="66"/>
    </row>
    <row r="35" spans="1:9" s="71" customFormat="1" ht="15.75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9" s="71" customFormat="1" ht="15.75" thickBot="1">
      <c r="A36" s="67" t="s">
        <v>558</v>
      </c>
      <c r="B36" s="68"/>
      <c r="C36" s="68"/>
      <c r="D36" s="73"/>
      <c r="E36" s="74"/>
      <c r="F36" s="74"/>
      <c r="G36" s="151">
        <f>G14+E26-F26</f>
        <v>109465.0214</v>
      </c>
      <c r="H36" s="66"/>
      <c r="I36" s="66"/>
    </row>
    <row r="37" spans="1:9" s="106" customFormat="1" ht="13.5">
      <c r="A37" s="108"/>
      <c r="B37" s="108"/>
      <c r="C37" s="108"/>
      <c r="D37" s="108"/>
      <c r="E37" s="105"/>
      <c r="F37" s="105"/>
      <c r="G37" s="105"/>
      <c r="H37" s="105"/>
      <c r="I37" s="105"/>
    </row>
    <row r="38" spans="1:9" ht="26.25" customHeight="1">
      <c r="A38" s="321" t="s">
        <v>196</v>
      </c>
      <c r="B38" s="321"/>
      <c r="C38" s="321"/>
      <c r="D38" s="321"/>
      <c r="E38" s="321"/>
      <c r="F38" s="321"/>
      <c r="G38" s="321"/>
      <c r="H38" s="154"/>
      <c r="I38" s="154"/>
    </row>
    <row r="40" spans="1:7" s="78" customFormat="1" ht="28.5">
      <c r="A40" s="109" t="s">
        <v>11</v>
      </c>
      <c r="B40" s="340" t="s">
        <v>45</v>
      </c>
      <c r="C40" s="352"/>
      <c r="D40" s="109" t="s">
        <v>172</v>
      </c>
      <c r="E40" s="109" t="s">
        <v>171</v>
      </c>
      <c r="F40" s="340" t="s">
        <v>46</v>
      </c>
      <c r="G40" s="352"/>
    </row>
    <row r="41" spans="1:7" s="119" customFormat="1" ht="15">
      <c r="A41" s="113" t="s">
        <v>47</v>
      </c>
      <c r="B41" s="342" t="s">
        <v>114</v>
      </c>
      <c r="C41" s="345"/>
      <c r="D41" s="115"/>
      <c r="E41" s="115"/>
      <c r="F41" s="356">
        <f>SUM(F42:G43)</f>
        <v>5822.7134</v>
      </c>
      <c r="G41" s="351"/>
    </row>
    <row r="42" spans="1:7" ht="15">
      <c r="A42" s="34" t="s">
        <v>16</v>
      </c>
      <c r="B42" s="325" t="s">
        <v>450</v>
      </c>
      <c r="C42" s="327"/>
      <c r="D42" s="123" t="s">
        <v>173</v>
      </c>
      <c r="E42" s="123">
        <v>18</v>
      </c>
      <c r="F42" s="366">
        <v>5267.15</v>
      </c>
      <c r="G42" s="367"/>
    </row>
    <row r="43" spans="1:7" ht="15">
      <c r="A43" s="34" t="s">
        <v>18</v>
      </c>
      <c r="B43" s="364" t="s">
        <v>207</v>
      </c>
      <c r="C43" s="365"/>
      <c r="D43" s="129"/>
      <c r="E43" s="129"/>
      <c r="F43" s="355">
        <f>E26*1%</f>
        <v>555.5634</v>
      </c>
      <c r="G43" s="355"/>
    </row>
    <row r="44" spans="1:7" ht="15">
      <c r="A44" s="176"/>
      <c r="B44" s="97"/>
      <c r="C44" s="97"/>
      <c r="D44" s="283"/>
      <c r="E44" s="283"/>
      <c r="F44" s="192"/>
      <c r="G44" s="192"/>
    </row>
    <row r="45" spans="1:7" ht="15">
      <c r="A45" s="71" t="s">
        <v>55</v>
      </c>
      <c r="B45" s="71"/>
      <c r="C45" s="131" t="s">
        <v>49</v>
      </c>
      <c r="D45" s="71"/>
      <c r="E45" s="71"/>
      <c r="F45" s="71" t="s">
        <v>93</v>
      </c>
      <c r="G45" s="71"/>
    </row>
    <row r="46" spans="1:7" ht="15">
      <c r="A46" s="71"/>
      <c r="B46" s="71"/>
      <c r="C46" s="131"/>
      <c r="D46" s="71"/>
      <c r="E46" s="71"/>
      <c r="F46" s="132" t="s">
        <v>296</v>
      </c>
      <c r="G46" s="71"/>
    </row>
    <row r="47" spans="1:7" ht="15">
      <c r="A47" s="71" t="s">
        <v>50</v>
      </c>
      <c r="B47" s="71"/>
      <c r="C47" s="131"/>
      <c r="D47" s="71"/>
      <c r="E47" s="71"/>
      <c r="F47" s="71"/>
      <c r="G47" s="71"/>
    </row>
    <row r="48" spans="1:7" ht="15">
      <c r="A48" s="71"/>
      <c r="B48" s="71"/>
      <c r="C48" s="133" t="s">
        <v>51</v>
      </c>
      <c r="D48" s="71"/>
      <c r="E48" s="134"/>
      <c r="F48" s="134"/>
      <c r="G48" s="134"/>
    </row>
  </sheetData>
  <sheetProtection/>
  <mergeCells count="18">
    <mergeCell ref="B43:C43"/>
    <mergeCell ref="F43:G43"/>
    <mergeCell ref="B42:C42"/>
    <mergeCell ref="F42:G42"/>
    <mergeCell ref="A10:I10"/>
    <mergeCell ref="A11:I11"/>
    <mergeCell ref="A12:C12"/>
    <mergeCell ref="A34:C34"/>
    <mergeCell ref="A38:G38"/>
    <mergeCell ref="B40:C40"/>
    <mergeCell ref="B41:C41"/>
    <mergeCell ref="F41:G41"/>
    <mergeCell ref="F40:G40"/>
    <mergeCell ref="A1:I1"/>
    <mergeCell ref="A2:I2"/>
    <mergeCell ref="A3:I3"/>
    <mergeCell ref="A5:I5"/>
    <mergeCell ref="A9:I9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7030A0"/>
  </sheetPr>
  <dimension ref="A1:J48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5.57421875" style="61" customWidth="1"/>
    <col min="2" max="2" width="51.8515625" style="61" customWidth="1"/>
    <col min="3" max="3" width="15.7109375" style="61" customWidth="1"/>
    <col min="4" max="4" width="14.8515625" style="61" customWidth="1"/>
    <col min="5" max="5" width="13.28125" style="61" customWidth="1"/>
    <col min="6" max="6" width="12.8515625" style="61" customWidth="1"/>
    <col min="7" max="7" width="14.57421875" style="61" customWidth="1"/>
    <col min="8" max="9" width="11.57421875" style="61" hidden="1" customWidth="1" outlineLevel="1"/>
    <col min="10" max="10" width="15.8515625" style="61" customWidth="1" collapsed="1"/>
    <col min="11" max="16384" width="9.140625" style="61" customWidth="1"/>
  </cols>
  <sheetData>
    <row r="1" spans="1:9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</row>
    <row r="2" spans="1:9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</row>
    <row r="3" spans="1:9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</row>
    <row r="4" spans="1:9" ht="9" customHeight="1">
      <c r="A4" s="60"/>
      <c r="B4" s="60"/>
      <c r="C4" s="60"/>
      <c r="D4" s="60"/>
      <c r="E4" s="60"/>
      <c r="F4" s="60"/>
      <c r="G4" s="60"/>
      <c r="H4" s="60"/>
      <c r="I4" s="60"/>
    </row>
    <row r="5" spans="1:9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</row>
    <row r="7" spans="1:8" s="63" customFormat="1" ht="16.5" customHeight="1">
      <c r="A7" s="63" t="s">
        <v>2</v>
      </c>
      <c r="F7" s="64" t="s">
        <v>274</v>
      </c>
      <c r="H7" s="64"/>
    </row>
    <row r="8" spans="1:8" s="63" customFormat="1" ht="12.75">
      <c r="A8" s="63" t="s">
        <v>3</v>
      </c>
      <c r="F8" s="64" t="s">
        <v>530</v>
      </c>
      <c r="H8" s="64"/>
    </row>
    <row r="9" spans="1:9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</row>
    <row r="10" spans="1:9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</row>
    <row r="11" spans="1:9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6.5" customHeight="1" thickBot="1">
      <c r="A12" s="319" t="s">
        <v>213</v>
      </c>
      <c r="B12" s="320"/>
      <c r="C12" s="320"/>
      <c r="D12" s="51">
        <v>101775.17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514</v>
      </c>
      <c r="B14" s="68"/>
      <c r="C14" s="68"/>
      <c r="D14" s="73"/>
      <c r="E14" s="74"/>
      <c r="F14" s="74"/>
      <c r="G14" s="69">
        <f>'[1]Моторная 30А'!$G$35</f>
        <v>-44077.86360000001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299</v>
      </c>
    </row>
    <row r="17" spans="1:10" s="63" customFormat="1" ht="14.25">
      <c r="A17" s="79" t="s">
        <v>14</v>
      </c>
      <c r="B17" s="41" t="s">
        <v>15</v>
      </c>
      <c r="C17" s="211">
        <f>C18+C19+C20+C21</f>
        <v>9.53</v>
      </c>
      <c r="D17" s="80">
        <v>327883.29</v>
      </c>
      <c r="E17" s="80">
        <v>306211.59</v>
      </c>
      <c r="F17" s="80">
        <f>D17</f>
        <v>327883.29</v>
      </c>
      <c r="G17" s="81">
        <f>E17-D17</f>
        <v>-21671.699999999953</v>
      </c>
      <c r="H17" s="82">
        <f>C17</f>
        <v>9.53</v>
      </c>
      <c r="I17" s="83"/>
      <c r="J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114913.97571878278</v>
      </c>
      <c r="E18" s="87">
        <f>E17*I18</f>
        <v>107318.64749213013</v>
      </c>
      <c r="F18" s="87">
        <f>D18</f>
        <v>114913.97571878278</v>
      </c>
      <c r="G18" s="88">
        <f aca="true" t="shared" si="0" ref="G18:G26">E18-D18</f>
        <v>-7595.328226652651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56080.77258132214</v>
      </c>
      <c r="E19" s="87">
        <f>E17*I19</f>
        <v>52374.070482686264</v>
      </c>
      <c r="F19" s="87">
        <f>D19</f>
        <v>56080.77258132214</v>
      </c>
      <c r="G19" s="88">
        <f t="shared" si="0"/>
        <v>-3706.7020986358766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86">
        <v>1.63</v>
      </c>
      <c r="D20" s="87">
        <f>D17*I20</f>
        <v>56080.77258132214</v>
      </c>
      <c r="E20" s="87">
        <f>E17*I20</f>
        <v>52374.070482686264</v>
      </c>
      <c r="F20" s="87">
        <f>D20</f>
        <v>56080.77258132214</v>
      </c>
      <c r="G20" s="88">
        <f t="shared" si="0"/>
        <v>-3706.7020986358766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100807.76911857293</v>
      </c>
      <c r="E21" s="87">
        <f>E17*I21</f>
        <v>94144.8015424974</v>
      </c>
      <c r="F21" s="87">
        <f>D21</f>
        <v>100807.76911857293</v>
      </c>
      <c r="G21" s="88">
        <f t="shared" si="0"/>
        <v>-6662.967576075534</v>
      </c>
      <c r="H21" s="82">
        <f>C21</f>
        <v>2.93</v>
      </c>
      <c r="I21" s="63">
        <f>H21/H17</f>
        <v>0.30745015739769155</v>
      </c>
    </row>
    <row r="22" spans="1:9" s="93" customFormat="1" ht="14.25">
      <c r="A22" s="90" t="s">
        <v>25</v>
      </c>
      <c r="B22" s="90" t="s">
        <v>26</v>
      </c>
      <c r="C22" s="9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</row>
    <row r="23" spans="1:9" s="93" customFormat="1" ht="14.25">
      <c r="A23" s="90" t="s">
        <v>27</v>
      </c>
      <c r="B23" s="90" t="s">
        <v>28</v>
      </c>
      <c r="C23" s="9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</row>
    <row r="24" spans="1:9" s="93" customFormat="1" ht="14.25">
      <c r="A24" s="90" t="s">
        <v>29</v>
      </c>
      <c r="B24" s="90" t="s">
        <v>30</v>
      </c>
      <c r="C24" s="91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</row>
    <row r="25" spans="1:9" s="93" customFormat="1" ht="14.25">
      <c r="A25" s="90" t="s">
        <v>31</v>
      </c>
      <c r="B25" s="90" t="s">
        <v>119</v>
      </c>
      <c r="C25" s="284">
        <v>1.8</v>
      </c>
      <c r="D25" s="91">
        <v>57735.18</v>
      </c>
      <c r="E25" s="91">
        <v>57832.41</v>
      </c>
      <c r="F25" s="91">
        <f>F40</f>
        <v>11446.0941</v>
      </c>
      <c r="G25" s="91">
        <f>E25-D25</f>
        <v>97.2300000000032</v>
      </c>
      <c r="H25" s="92"/>
      <c r="I25" s="92"/>
    </row>
    <row r="26" spans="1:9" ht="14.25">
      <c r="A26" s="41" t="s">
        <v>33</v>
      </c>
      <c r="B26" s="41" t="s">
        <v>170</v>
      </c>
      <c r="C26" s="81" t="s">
        <v>314</v>
      </c>
      <c r="D26" s="81"/>
      <c r="E26" s="81"/>
      <c r="F26" s="91">
        <f>D26</f>
        <v>0</v>
      </c>
      <c r="G26" s="81">
        <f t="shared" si="0"/>
        <v>0</v>
      </c>
      <c r="H26" s="102"/>
      <c r="I26" s="102"/>
    </row>
    <row r="27" spans="1:9" ht="14.25">
      <c r="A27" s="41" t="s">
        <v>35</v>
      </c>
      <c r="B27" s="41" t="s">
        <v>36</v>
      </c>
      <c r="C27" s="81"/>
      <c r="D27" s="81">
        <f>SUM(D28:D31)</f>
        <v>1184952.99</v>
      </c>
      <c r="E27" s="81">
        <f>SUM(E28:E31)</f>
        <v>1188901.73</v>
      </c>
      <c r="F27" s="81">
        <f>SUM(F28:F31)</f>
        <v>1184952.99</v>
      </c>
      <c r="G27" s="81">
        <f>SUM(G28:G31)</f>
        <v>3948.7399999999616</v>
      </c>
      <c r="H27" s="102"/>
      <c r="I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56459.99</v>
      </c>
      <c r="E28" s="88">
        <v>55485.21</v>
      </c>
      <c r="F28" s="88">
        <f>D28</f>
        <v>56459.99</v>
      </c>
      <c r="G28" s="88">
        <f>E28-D28</f>
        <v>-974.7799999999988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303443</v>
      </c>
      <c r="E29" s="88">
        <v>305748.04</v>
      </c>
      <c r="F29" s="88">
        <f>D29</f>
        <v>303443</v>
      </c>
      <c r="G29" s="88">
        <f>E29-D29</f>
        <v>2305.039999999979</v>
      </c>
    </row>
    <row r="30" spans="1:7" ht="15">
      <c r="A30" s="34" t="s">
        <v>42</v>
      </c>
      <c r="B30" s="34" t="s">
        <v>143</v>
      </c>
      <c r="C30" s="149"/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825050</v>
      </c>
      <c r="E31" s="88">
        <v>827668.48</v>
      </c>
      <c r="F31" s="88">
        <f>D31</f>
        <v>825050</v>
      </c>
      <c r="G31" s="88">
        <f>E31-D31</f>
        <v>2618.4799999999814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119400.8999999999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2308.4522999999917</v>
      </c>
      <c r="H35" s="66"/>
      <c r="I35" s="66"/>
    </row>
    <row r="36" spans="1:9" s="106" customFormat="1" ht="13.5">
      <c r="A36" s="108"/>
      <c r="B36" s="108"/>
      <c r="C36" s="108"/>
      <c r="D36" s="108"/>
      <c r="E36" s="105"/>
      <c r="F36" s="105"/>
      <c r="G36" s="105"/>
      <c r="H36" s="105"/>
      <c r="I36" s="105"/>
    </row>
    <row r="37" spans="1:9" s="106" customFormat="1" ht="27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</row>
    <row r="39" spans="1:7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</row>
    <row r="40" spans="1:7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SUM(F41:G43)</f>
        <v>11446.0941</v>
      </c>
      <c r="G40" s="351"/>
    </row>
    <row r="41" spans="1:7" s="119" customFormat="1" ht="15">
      <c r="A41" s="34" t="s">
        <v>16</v>
      </c>
      <c r="B41" s="325" t="s">
        <v>531</v>
      </c>
      <c r="C41" s="327"/>
      <c r="D41" s="123" t="s">
        <v>265</v>
      </c>
      <c r="E41" s="123">
        <v>0.034</v>
      </c>
      <c r="F41" s="366">
        <v>3027.77</v>
      </c>
      <c r="G41" s="367"/>
    </row>
    <row r="42" spans="1:7" s="63" customFormat="1" ht="15">
      <c r="A42" s="34" t="s">
        <v>18</v>
      </c>
      <c r="B42" s="325" t="s">
        <v>663</v>
      </c>
      <c r="C42" s="350"/>
      <c r="D42" s="123"/>
      <c r="E42" s="159" t="s">
        <v>286</v>
      </c>
      <c r="F42" s="355">
        <v>7840</v>
      </c>
      <c r="G42" s="355"/>
    </row>
    <row r="43" spans="1:7" ht="15">
      <c r="A43" s="34" t="s">
        <v>20</v>
      </c>
      <c r="B43" s="364" t="s">
        <v>207</v>
      </c>
      <c r="C43" s="365"/>
      <c r="D43" s="129"/>
      <c r="E43" s="129"/>
      <c r="F43" s="355">
        <f>E25*1%</f>
        <v>578.3241</v>
      </c>
      <c r="G43" s="355"/>
    </row>
    <row r="44" spans="1:7" ht="12.75">
      <c r="A44" s="63"/>
      <c r="B44" s="63"/>
      <c r="C44" s="63"/>
      <c r="D44" s="63"/>
      <c r="E44" s="63"/>
      <c r="F44" s="63"/>
      <c r="G44" s="63"/>
    </row>
    <row r="45" spans="1:7" ht="15">
      <c r="A45" s="71" t="s">
        <v>55</v>
      </c>
      <c r="B45" s="71"/>
      <c r="C45" s="131" t="s">
        <v>49</v>
      </c>
      <c r="D45" s="71"/>
      <c r="E45" s="71"/>
      <c r="F45" s="71" t="s">
        <v>93</v>
      </c>
      <c r="G45" s="71"/>
    </row>
    <row r="46" spans="1:7" ht="15">
      <c r="A46" s="71"/>
      <c r="B46" s="71"/>
      <c r="C46" s="131"/>
      <c r="D46" s="71"/>
      <c r="E46" s="71"/>
      <c r="F46" s="132" t="s">
        <v>296</v>
      </c>
      <c r="G46" s="71"/>
    </row>
    <row r="47" spans="1:7" ht="15">
      <c r="A47" s="71" t="s">
        <v>50</v>
      </c>
      <c r="B47" s="71"/>
      <c r="C47" s="131"/>
      <c r="D47" s="71"/>
      <c r="E47" s="71"/>
      <c r="F47" s="71"/>
      <c r="G47" s="71"/>
    </row>
    <row r="48" spans="1:7" ht="15">
      <c r="A48" s="71"/>
      <c r="B48" s="71"/>
      <c r="C48" s="133" t="s">
        <v>51</v>
      </c>
      <c r="D48" s="71"/>
      <c r="E48" s="134"/>
      <c r="F48" s="134"/>
      <c r="G48" s="134"/>
    </row>
  </sheetData>
  <sheetProtection/>
  <mergeCells count="20">
    <mergeCell ref="B43:C43"/>
    <mergeCell ref="F43:G43"/>
    <mergeCell ref="B42:C42"/>
    <mergeCell ref="F42:G42"/>
    <mergeCell ref="B40:C40"/>
    <mergeCell ref="F40:G40"/>
    <mergeCell ref="B41:C41"/>
    <mergeCell ref="F41:G41"/>
    <mergeCell ref="A11:I11"/>
    <mergeCell ref="A12:C12"/>
    <mergeCell ref="A33:C33"/>
    <mergeCell ref="A37:I37"/>
    <mergeCell ref="B39:C39"/>
    <mergeCell ref="F39:G39"/>
    <mergeCell ref="A10:I10"/>
    <mergeCell ref="A1:I1"/>
    <mergeCell ref="A2:I2"/>
    <mergeCell ref="A3:I3"/>
    <mergeCell ref="A5:I5"/>
    <mergeCell ref="A9:I9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7030A0"/>
  </sheetPr>
  <dimension ref="A1:N59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200</v>
      </c>
      <c r="H7" s="64"/>
    </row>
    <row r="8" spans="1:8" s="63" customFormat="1" ht="12.75">
      <c r="A8" s="63" t="s">
        <v>3</v>
      </c>
      <c r="F8" s="64" t="s">
        <v>526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207711.08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75">
        <f>'[1]Грабцевское шоссе 160'!$G$35</f>
        <v>86149.1298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9.969999999999999</v>
      </c>
      <c r="D17" s="80">
        <v>1023670.44</v>
      </c>
      <c r="E17" s="80">
        <v>1000090.61</v>
      </c>
      <c r="F17" s="80">
        <f aca="true" t="shared" si="0" ref="F17:F24">D17</f>
        <v>1023670.44</v>
      </c>
      <c r="G17" s="81">
        <f>E17-D17</f>
        <v>-23579.829999999958</v>
      </c>
      <c r="H17" s="82">
        <f>C17</f>
        <v>9.969999999999999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342934.7311534604</v>
      </c>
      <c r="E18" s="87">
        <f>E17*I18</f>
        <v>335035.3698495487</v>
      </c>
      <c r="F18" s="87">
        <f t="shared" si="0"/>
        <v>342934.7311534604</v>
      </c>
      <c r="G18" s="88">
        <f aca="true" t="shared" si="1" ref="G18:G26">E18-D18</f>
        <v>-7899.361303911719</v>
      </c>
      <c r="H18" s="82">
        <f>C18</f>
        <v>3.34</v>
      </c>
      <c r="I18" s="63">
        <f>H18/H17</f>
        <v>0.3350050150451354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167360.3628084253</v>
      </c>
      <c r="E19" s="87">
        <f>E17*I19</f>
        <v>163505.2852858576</v>
      </c>
      <c r="F19" s="87">
        <f t="shared" si="0"/>
        <v>167360.3628084253</v>
      </c>
      <c r="G19" s="88">
        <f t="shared" si="1"/>
        <v>-3855.077522567706</v>
      </c>
      <c r="H19" s="82">
        <f>C19</f>
        <v>1.63</v>
      </c>
      <c r="I19" s="63">
        <f>H19/H17</f>
        <v>0.16349047141424275</v>
      </c>
    </row>
    <row r="20" spans="1:9" s="63" customFormat="1" ht="15">
      <c r="A20" s="85" t="s">
        <v>20</v>
      </c>
      <c r="B20" s="34" t="s">
        <v>21</v>
      </c>
      <c r="C20" s="86">
        <v>2.07</v>
      </c>
      <c r="D20" s="87">
        <f>D17*I20</f>
        <v>212537.39325977935</v>
      </c>
      <c r="E20" s="87">
        <f>E17*I20</f>
        <v>207641.68131394184</v>
      </c>
      <c r="F20" s="87">
        <f t="shared" si="0"/>
        <v>212537.39325977935</v>
      </c>
      <c r="G20" s="88">
        <f t="shared" si="1"/>
        <v>-4895.711945837509</v>
      </c>
      <c r="H20" s="82">
        <f>C20</f>
        <v>2.07</v>
      </c>
      <c r="I20" s="63">
        <f>H20/H17</f>
        <v>0.20762286860581747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300837.952778335</v>
      </c>
      <c r="E21" s="87">
        <f>E17*I21</f>
        <v>293908.27355065197</v>
      </c>
      <c r="F21" s="87">
        <f t="shared" si="0"/>
        <v>300837.952778335</v>
      </c>
      <c r="G21" s="88">
        <f t="shared" si="1"/>
        <v>-6929.679227683053</v>
      </c>
      <c r="H21" s="82">
        <f>C21</f>
        <v>2.93</v>
      </c>
      <c r="I21" s="63">
        <f>H21/H17</f>
        <v>0.29388164493480445</v>
      </c>
    </row>
    <row r="22" spans="1:11" s="93" customFormat="1" ht="14.25">
      <c r="A22" s="90" t="s">
        <v>25</v>
      </c>
      <c r="B22" s="90" t="s">
        <v>26</v>
      </c>
      <c r="C22" s="46">
        <v>3.72</v>
      </c>
      <c r="D22" s="91">
        <v>376578.48</v>
      </c>
      <c r="E22" s="91">
        <v>373502.19</v>
      </c>
      <c r="F22" s="91">
        <f t="shared" si="0"/>
        <v>376578.48</v>
      </c>
      <c r="G22" s="91">
        <f t="shared" si="1"/>
        <v>-3076.289999999979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1.08</v>
      </c>
      <c r="D24" s="91">
        <v>31887.72</v>
      </c>
      <c r="E24" s="91">
        <v>37192.21</v>
      </c>
      <c r="F24" s="91">
        <f t="shared" si="0"/>
        <v>31887.72</v>
      </c>
      <c r="G24" s="91">
        <f t="shared" si="1"/>
        <v>5304.489999999998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v>201723.24</v>
      </c>
      <c r="E25" s="91">
        <v>199889.3</v>
      </c>
      <c r="F25" s="91">
        <f>F40</f>
        <v>606661.993</v>
      </c>
      <c r="G25" s="91">
        <f>E25-D25</f>
        <v>-1833.9400000000023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 t="s">
        <v>314</v>
      </c>
      <c r="D26" s="81"/>
      <c r="E26" s="81"/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>
        <v>0</v>
      </c>
      <c r="D27" s="81">
        <f>SUM(D28:D31)</f>
        <v>3810429.8</v>
      </c>
      <c r="E27" s="81">
        <f>SUM(E28:E31)</f>
        <v>3784292.3600000003</v>
      </c>
      <c r="F27" s="81">
        <f>SUM(F28:F31)</f>
        <v>3810429.8</v>
      </c>
      <c r="G27" s="81">
        <f>SUM(G28:G31)</f>
        <v>-26137.44000000003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181214.58</v>
      </c>
      <c r="E28" s="88">
        <v>179737.56</v>
      </c>
      <c r="F28" s="88">
        <f>D28</f>
        <v>181214.58</v>
      </c>
      <c r="G28" s="88">
        <f>E28-D28</f>
        <v>-1477.0199999999895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800858.6</v>
      </c>
      <c r="E29" s="88">
        <v>797152.74</v>
      </c>
      <c r="F29" s="88">
        <f>D29</f>
        <v>800858.6</v>
      </c>
      <c r="G29" s="88">
        <f>E29-D29</f>
        <v>-3705.859999999986</v>
      </c>
    </row>
    <row r="30" spans="1:7" ht="15">
      <c r="A30" s="34" t="s">
        <v>42</v>
      </c>
      <c r="B30" s="34" t="s">
        <v>143</v>
      </c>
      <c r="C30" s="149" t="s">
        <v>483</v>
      </c>
      <c r="D30" s="88">
        <v>1080767.27</v>
      </c>
      <c r="E30" s="88">
        <v>1061502.05</v>
      </c>
      <c r="F30" s="88">
        <f>D30</f>
        <v>1080767.27</v>
      </c>
      <c r="G30" s="88">
        <f>E30-D30</f>
        <v>-19265.219999999972</v>
      </c>
    </row>
    <row r="31" spans="1:7" ht="15">
      <c r="A31" s="34" t="s">
        <v>41</v>
      </c>
      <c r="B31" s="34" t="s">
        <v>43</v>
      </c>
      <c r="C31" s="103" t="s">
        <v>482</v>
      </c>
      <c r="D31" s="88">
        <v>1747589.35</v>
      </c>
      <c r="E31" s="88">
        <v>1745900.01</v>
      </c>
      <c r="F31" s="88">
        <f>D31</f>
        <v>1747589.35</v>
      </c>
      <c r="G31" s="88">
        <f>E31-D31</f>
        <v>-1689.3400000000838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257034.08999999892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1" s="71" customFormat="1" ht="15.75" thickBot="1">
      <c r="A35" s="67" t="s">
        <v>558</v>
      </c>
      <c r="B35" s="68"/>
      <c r="C35" s="68"/>
      <c r="D35" s="73"/>
      <c r="E35" s="74"/>
      <c r="F35" s="74"/>
      <c r="G35" s="75">
        <f>G14+E25-F25</f>
        <v>-320623.56320000003</v>
      </c>
      <c r="H35" s="66"/>
      <c r="I35" s="66"/>
      <c r="K35" s="152"/>
    </row>
    <row r="36" spans="1:11" s="106" customFormat="1" ht="13.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</row>
    <row r="37" spans="1:11" ht="31.5" customHeight="1">
      <c r="A37" s="321" t="s">
        <v>196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</row>
    <row r="39" spans="1:12" s="78" customFormat="1" ht="37.5" customHeight="1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L39" s="112"/>
    </row>
    <row r="40" spans="1:12" s="119" customFormat="1" ht="15" customHeight="1">
      <c r="A40" s="113" t="s">
        <v>47</v>
      </c>
      <c r="B40" s="342" t="s">
        <v>114</v>
      </c>
      <c r="C40" s="345"/>
      <c r="D40" s="115"/>
      <c r="E40" s="115"/>
      <c r="F40" s="356">
        <f>SUM(F41:G54)</f>
        <v>606661.993</v>
      </c>
      <c r="G40" s="351"/>
      <c r="H40" s="270"/>
      <c r="I40" s="271"/>
      <c r="L40" s="120"/>
    </row>
    <row r="41" spans="1:12" ht="15" customHeight="1">
      <c r="A41" s="34" t="s">
        <v>16</v>
      </c>
      <c r="B41" s="325" t="s">
        <v>287</v>
      </c>
      <c r="C41" s="430"/>
      <c r="D41" s="232" t="s">
        <v>269</v>
      </c>
      <c r="E41" s="232">
        <v>0.02</v>
      </c>
      <c r="F41" s="446">
        <v>669.98</v>
      </c>
      <c r="G41" s="447"/>
      <c r="H41" s="272"/>
      <c r="I41" s="273"/>
      <c r="L41" s="124"/>
    </row>
    <row r="42" spans="1:12" ht="15" customHeight="1">
      <c r="A42" s="34" t="s">
        <v>18</v>
      </c>
      <c r="B42" s="325" t="s">
        <v>771</v>
      </c>
      <c r="C42" s="430"/>
      <c r="D42" s="232" t="s">
        <v>292</v>
      </c>
      <c r="E42" s="109"/>
      <c r="F42" s="446">
        <v>328751.99</v>
      </c>
      <c r="G42" s="447"/>
      <c r="H42" s="40"/>
      <c r="I42" s="40"/>
      <c r="L42" s="124"/>
    </row>
    <row r="43" spans="1:12" ht="15">
      <c r="A43" s="34" t="s">
        <v>20</v>
      </c>
      <c r="B43" s="325" t="s">
        <v>288</v>
      </c>
      <c r="C43" s="430"/>
      <c r="D43" s="232"/>
      <c r="E43" s="109"/>
      <c r="F43" s="446">
        <v>35000</v>
      </c>
      <c r="G43" s="447"/>
      <c r="H43" s="40"/>
      <c r="I43" s="40"/>
      <c r="L43" s="124"/>
    </row>
    <row r="44" spans="1:12" ht="30">
      <c r="A44" s="34" t="s">
        <v>22</v>
      </c>
      <c r="B44" s="325" t="s">
        <v>289</v>
      </c>
      <c r="C44" s="430"/>
      <c r="D44" s="232" t="s">
        <v>290</v>
      </c>
      <c r="E44" s="232"/>
      <c r="F44" s="446">
        <v>929</v>
      </c>
      <c r="G44" s="447"/>
      <c r="H44" s="40"/>
      <c r="I44" s="40"/>
      <c r="L44" s="124"/>
    </row>
    <row r="45" spans="1:11" s="71" customFormat="1" ht="27.75" customHeight="1">
      <c r="A45" s="276" t="s">
        <v>24</v>
      </c>
      <c r="B45" s="325" t="s">
        <v>291</v>
      </c>
      <c r="C45" s="430"/>
      <c r="D45" s="232" t="s">
        <v>285</v>
      </c>
      <c r="E45" s="232">
        <v>1</v>
      </c>
      <c r="F45" s="446">
        <v>30000</v>
      </c>
      <c r="G45" s="447"/>
      <c r="H45" s="63"/>
      <c r="I45" s="63"/>
      <c r="J45" s="63"/>
      <c r="K45" s="63"/>
    </row>
    <row r="46" spans="1:7" s="63" customFormat="1" ht="15">
      <c r="A46" s="34" t="s">
        <v>106</v>
      </c>
      <c r="B46" s="325" t="s">
        <v>527</v>
      </c>
      <c r="C46" s="327"/>
      <c r="D46" s="123" t="s">
        <v>265</v>
      </c>
      <c r="E46" s="123">
        <v>0.01</v>
      </c>
      <c r="F46" s="366">
        <v>4585</v>
      </c>
      <c r="G46" s="367"/>
    </row>
    <row r="47" spans="1:11" s="63" customFormat="1" ht="15">
      <c r="A47" s="34" t="s">
        <v>107</v>
      </c>
      <c r="B47" s="325" t="s">
        <v>373</v>
      </c>
      <c r="C47" s="327"/>
      <c r="D47" s="123" t="s">
        <v>176</v>
      </c>
      <c r="E47" s="123">
        <v>4.69</v>
      </c>
      <c r="F47" s="366">
        <v>16663.06</v>
      </c>
      <c r="G47" s="367"/>
      <c r="H47" s="71"/>
      <c r="I47" s="71"/>
      <c r="J47" s="71"/>
      <c r="K47" s="71"/>
    </row>
    <row r="48" spans="1:7" s="63" customFormat="1" ht="15">
      <c r="A48" s="34" t="s">
        <v>120</v>
      </c>
      <c r="B48" s="325" t="s">
        <v>528</v>
      </c>
      <c r="C48" s="327"/>
      <c r="D48" s="123" t="s">
        <v>269</v>
      </c>
      <c r="E48" s="123">
        <v>0.01</v>
      </c>
      <c r="F48" s="366">
        <v>435</v>
      </c>
      <c r="G48" s="367"/>
    </row>
    <row r="49" spans="1:7" s="63" customFormat="1" ht="15">
      <c r="A49" s="34" t="s">
        <v>121</v>
      </c>
      <c r="B49" s="325" t="s">
        <v>529</v>
      </c>
      <c r="C49" s="327"/>
      <c r="D49" s="123" t="s">
        <v>269</v>
      </c>
      <c r="E49" s="123">
        <v>0.01</v>
      </c>
      <c r="F49" s="366">
        <v>581.07</v>
      </c>
      <c r="G49" s="367"/>
    </row>
    <row r="50" spans="1:7" s="63" customFormat="1" ht="15">
      <c r="A50" s="34" t="s">
        <v>122</v>
      </c>
      <c r="B50" s="325" t="s">
        <v>663</v>
      </c>
      <c r="C50" s="350"/>
      <c r="D50" s="123"/>
      <c r="E50" s="159" t="s">
        <v>286</v>
      </c>
      <c r="F50" s="355">
        <v>20160</v>
      </c>
      <c r="G50" s="355"/>
    </row>
    <row r="51" spans="1:7" s="63" customFormat="1" ht="15">
      <c r="A51" s="34" t="s">
        <v>144</v>
      </c>
      <c r="B51" s="325" t="s">
        <v>178</v>
      </c>
      <c r="C51" s="350"/>
      <c r="D51" s="123" t="s">
        <v>352</v>
      </c>
      <c r="E51" s="159">
        <v>0.35</v>
      </c>
      <c r="F51" s="355">
        <v>18488</v>
      </c>
      <c r="G51" s="355"/>
    </row>
    <row r="52" spans="1:7" s="63" customFormat="1" ht="15">
      <c r="A52" s="34" t="s">
        <v>147</v>
      </c>
      <c r="B52" s="325" t="s">
        <v>755</v>
      </c>
      <c r="C52" s="350"/>
      <c r="D52" s="123" t="s">
        <v>285</v>
      </c>
      <c r="E52" s="159">
        <v>5</v>
      </c>
      <c r="F52" s="445">
        <v>60400</v>
      </c>
      <c r="G52" s="445"/>
    </row>
    <row r="53" spans="1:7" s="63" customFormat="1" ht="15">
      <c r="A53" s="34" t="s">
        <v>148</v>
      </c>
      <c r="B53" s="325" t="s">
        <v>697</v>
      </c>
      <c r="C53" s="350"/>
      <c r="D53" s="123"/>
      <c r="E53" s="159"/>
      <c r="F53" s="355">
        <v>88000</v>
      </c>
      <c r="G53" s="355"/>
    </row>
    <row r="54" spans="1:7" ht="15">
      <c r="A54" s="34" t="s">
        <v>578</v>
      </c>
      <c r="B54" s="364" t="s">
        <v>207</v>
      </c>
      <c r="C54" s="365"/>
      <c r="D54" s="129"/>
      <c r="E54" s="129"/>
      <c r="F54" s="355">
        <f>E25*1%</f>
        <v>1998.893</v>
      </c>
      <c r="G54" s="355"/>
    </row>
    <row r="55" spans="1:7" ht="12.75">
      <c r="A55" s="63"/>
      <c r="B55" s="63"/>
      <c r="C55" s="63"/>
      <c r="D55" s="63"/>
      <c r="E55" s="63"/>
      <c r="F55" s="63"/>
      <c r="G55" s="63"/>
    </row>
    <row r="56" spans="1:7" ht="15">
      <c r="A56" s="71" t="s">
        <v>55</v>
      </c>
      <c r="B56" s="71"/>
      <c r="C56" s="131" t="s">
        <v>49</v>
      </c>
      <c r="D56" s="71"/>
      <c r="E56" s="71"/>
      <c r="F56" s="71" t="s">
        <v>93</v>
      </c>
      <c r="G56" s="71"/>
    </row>
    <row r="57" spans="1:7" ht="15">
      <c r="A57" s="71"/>
      <c r="B57" s="71"/>
      <c r="C57" s="131"/>
      <c r="D57" s="71"/>
      <c r="E57" s="71"/>
      <c r="F57" s="132" t="s">
        <v>296</v>
      </c>
      <c r="G57" s="71"/>
    </row>
    <row r="58" spans="1:7" ht="15">
      <c r="A58" s="71" t="s">
        <v>50</v>
      </c>
      <c r="B58" s="71"/>
      <c r="C58" s="131"/>
      <c r="D58" s="71"/>
      <c r="E58" s="71"/>
      <c r="F58" s="71"/>
      <c r="G58" s="71"/>
    </row>
    <row r="59" spans="1:7" ht="15">
      <c r="A59" s="71"/>
      <c r="B59" s="71"/>
      <c r="C59" s="133" t="s">
        <v>51</v>
      </c>
      <c r="D59" s="71"/>
      <c r="E59" s="134"/>
      <c r="F59" s="134"/>
      <c r="G59" s="134"/>
    </row>
  </sheetData>
  <sheetProtection/>
  <mergeCells count="42">
    <mergeCell ref="B54:C54"/>
    <mergeCell ref="F54:G54"/>
    <mergeCell ref="B46:C46"/>
    <mergeCell ref="F46:G46"/>
    <mergeCell ref="B47:C47"/>
    <mergeCell ref="F47:G47"/>
    <mergeCell ref="B48:C48"/>
    <mergeCell ref="B50:C50"/>
    <mergeCell ref="B51:C51"/>
    <mergeCell ref="F51:G51"/>
    <mergeCell ref="A12:C12"/>
    <mergeCell ref="A33:C33"/>
    <mergeCell ref="A37:K37"/>
    <mergeCell ref="B39:C39"/>
    <mergeCell ref="F39:G39"/>
    <mergeCell ref="F49:G49"/>
    <mergeCell ref="F41:G41"/>
    <mergeCell ref="F44:G44"/>
    <mergeCell ref="F45:G45"/>
    <mergeCell ref="B40:C40"/>
    <mergeCell ref="F40:G40"/>
    <mergeCell ref="B49:C49"/>
    <mergeCell ref="F42:G42"/>
    <mergeCell ref="F43:G43"/>
    <mergeCell ref="F48:G48"/>
    <mergeCell ref="F50:G50"/>
    <mergeCell ref="A11:K11"/>
    <mergeCell ref="A10:K10"/>
    <mergeCell ref="A1:K1"/>
    <mergeCell ref="A2:K2"/>
    <mergeCell ref="A3:K3"/>
    <mergeCell ref="A5:K5"/>
    <mergeCell ref="A9:K9"/>
    <mergeCell ref="B52:C52"/>
    <mergeCell ref="F52:G52"/>
    <mergeCell ref="B53:C53"/>
    <mergeCell ref="F53:G53"/>
    <mergeCell ref="B41:C41"/>
    <mergeCell ref="B42:C42"/>
    <mergeCell ref="B43:C43"/>
    <mergeCell ref="B44:C44"/>
    <mergeCell ref="B45:C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K51"/>
  <sheetViews>
    <sheetView zoomScalePageLayoutView="0" workbookViewId="0" topLeftCell="A25">
      <selection activeCell="G38" sqref="G38"/>
    </sheetView>
  </sheetViews>
  <sheetFormatPr defaultColWidth="9.140625" defaultRowHeight="15" outlineLevelCol="1"/>
  <cols>
    <col min="1" max="1" width="4.7109375" style="35" customWidth="1"/>
    <col min="2" max="2" width="48.00390625" style="35" customWidth="1"/>
    <col min="3" max="3" width="12.8515625" style="35" customWidth="1"/>
    <col min="4" max="4" width="13.140625" style="35" bestFit="1" customWidth="1"/>
    <col min="5" max="5" width="14.28125" style="35" customWidth="1"/>
    <col min="6" max="6" width="15.140625" style="35" customWidth="1"/>
    <col min="7" max="7" width="13.4218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140625" style="35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4.2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12.75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2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5" s="71" customFormat="1" ht="16.5" customHeight="1">
      <c r="A7" s="71" t="s">
        <v>2</v>
      </c>
      <c r="E7" s="132" t="s">
        <v>60</v>
      </c>
    </row>
    <row r="8" spans="1:5" s="71" customFormat="1" ht="15">
      <c r="A8" s="71" t="s">
        <v>3</v>
      </c>
      <c r="E8" s="132" t="s">
        <v>593</v>
      </c>
    </row>
    <row r="9" s="71" customFormat="1" ht="15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803598.72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556</v>
      </c>
      <c r="B15" s="68"/>
      <c r="C15" s="68"/>
      <c r="D15" s="73"/>
      <c r="E15" s="74"/>
      <c r="F15" s="74"/>
      <c r="G15" s="151">
        <f>'[1]Социалистическая 4'!$G$37</f>
        <v>171860.85</v>
      </c>
      <c r="H15" s="66"/>
      <c r="I15" s="66"/>
    </row>
    <row r="16" spans="1:9" s="71" customFormat="1" ht="15.75" thickBot="1">
      <c r="A16" s="67" t="s">
        <v>514</v>
      </c>
      <c r="B16" s="68"/>
      <c r="C16" s="68"/>
      <c r="D16" s="73"/>
      <c r="E16" s="74"/>
      <c r="F16" s="74"/>
      <c r="G16" s="151">
        <f>'[1]Социалистическая 4'!$G$38</f>
        <v>248286.9701</v>
      </c>
      <c r="H16" s="66"/>
      <c r="I16" s="66"/>
    </row>
    <row r="17" s="71" customFormat="1" ht="6.75" customHeight="1"/>
    <row r="18" spans="1:7" s="78" customFormat="1" ht="52.5" customHeight="1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175" customFormat="1" ht="14.25">
      <c r="A19" s="79" t="s">
        <v>14</v>
      </c>
      <c r="B19" s="41" t="s">
        <v>15</v>
      </c>
      <c r="C19" s="141">
        <f>C20+C21+C22+C23</f>
        <v>9.53</v>
      </c>
      <c r="D19" s="80">
        <v>400569.12</v>
      </c>
      <c r="E19" s="80">
        <v>384658.34</v>
      </c>
      <c r="F19" s="80">
        <f>D19</f>
        <v>400569.12</v>
      </c>
      <c r="G19" s="81">
        <f aca="true" t="shared" si="0" ref="G19:G28">E19-D19</f>
        <v>-15910.77999999997</v>
      </c>
      <c r="H19" s="174">
        <f>C19</f>
        <v>9.53</v>
      </c>
    </row>
    <row r="20" spans="1:9" s="71" customFormat="1" ht="15">
      <c r="A20" s="85" t="s">
        <v>16</v>
      </c>
      <c r="B20" s="34" t="s">
        <v>17</v>
      </c>
      <c r="C20" s="103">
        <v>3.34</v>
      </c>
      <c r="D20" s="87">
        <f>D19*I20</f>
        <v>140388.33796432317</v>
      </c>
      <c r="E20" s="87">
        <f>E19*I20</f>
        <v>134812.05200419726</v>
      </c>
      <c r="F20" s="87">
        <f>D20</f>
        <v>140388.33796432317</v>
      </c>
      <c r="G20" s="88">
        <f t="shared" si="0"/>
        <v>-5576.2859601259115</v>
      </c>
      <c r="H20" s="152">
        <f>C20</f>
        <v>3.34</v>
      </c>
      <c r="I20" s="71">
        <f>H20/H19</f>
        <v>0.35047219307450156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68512.87152151103</v>
      </c>
      <c r="E21" s="87">
        <f>E19*I21</f>
        <v>65791.510409234</v>
      </c>
      <c r="F21" s="87">
        <f>D21</f>
        <v>68512.87152151103</v>
      </c>
      <c r="G21" s="88">
        <f t="shared" si="0"/>
        <v>-2721.3611122770235</v>
      </c>
      <c r="H21" s="152">
        <f>C21</f>
        <v>1.63</v>
      </c>
      <c r="I21" s="71">
        <f>H21/H19</f>
        <v>0.17103882476390347</v>
      </c>
    </row>
    <row r="22" spans="1:9" s="71" customFormat="1" ht="15">
      <c r="A22" s="85" t="s">
        <v>20</v>
      </c>
      <c r="B22" s="34" t="s">
        <v>21</v>
      </c>
      <c r="C22" s="103">
        <v>1.63</v>
      </c>
      <c r="D22" s="87">
        <f>D19*I22</f>
        <v>68512.87152151103</v>
      </c>
      <c r="E22" s="87">
        <f>E19*I22</f>
        <v>65791.510409234</v>
      </c>
      <c r="F22" s="87">
        <f>D22</f>
        <v>68512.87152151103</v>
      </c>
      <c r="G22" s="88">
        <f t="shared" si="0"/>
        <v>-2721.3611122770235</v>
      </c>
      <c r="H22" s="152">
        <f>C22</f>
        <v>1.63</v>
      </c>
      <c r="I22" s="71">
        <f>H22/H19</f>
        <v>0.17103882476390347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123155.0389926548</v>
      </c>
      <c r="E23" s="87">
        <f>E19*I23</f>
        <v>118263.26717733475</v>
      </c>
      <c r="F23" s="87">
        <f>D23</f>
        <v>123155.0389926548</v>
      </c>
      <c r="G23" s="88">
        <f t="shared" si="0"/>
        <v>-4891.77181532004</v>
      </c>
      <c r="H23" s="152">
        <f>C23</f>
        <v>2.93</v>
      </c>
      <c r="I23" s="71">
        <f>H23/H19</f>
        <v>0.30745015739769155</v>
      </c>
    </row>
    <row r="24" spans="1:7" s="39" customFormat="1" ht="14.25">
      <c r="A24" s="41" t="s">
        <v>25</v>
      </c>
      <c r="B24" s="146" t="s">
        <v>26</v>
      </c>
      <c r="C24" s="101">
        <v>0</v>
      </c>
      <c r="D24" s="81">
        <v>0</v>
      </c>
      <c r="E24" s="81">
        <v>0</v>
      </c>
      <c r="F24" s="80">
        <f aca="true" t="shared" si="1" ref="F24:F33">D24</f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28</v>
      </c>
      <c r="C25" s="101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170</v>
      </c>
      <c r="C26" s="147">
        <v>0</v>
      </c>
      <c r="D26" s="81">
        <v>0</v>
      </c>
      <c r="E26" s="81">
        <v>0</v>
      </c>
      <c r="F26" s="80">
        <f t="shared" si="1"/>
        <v>0</v>
      </c>
      <c r="G26" s="81">
        <f t="shared" si="0"/>
        <v>0</v>
      </c>
    </row>
    <row r="27" spans="1:7" s="39" customFormat="1" ht="14.25">
      <c r="A27" s="41" t="s">
        <v>31</v>
      </c>
      <c r="B27" s="146" t="s">
        <v>119</v>
      </c>
      <c r="C27" s="101">
        <v>1.8</v>
      </c>
      <c r="D27" s="81">
        <v>75658.32</v>
      </c>
      <c r="E27" s="81">
        <v>72713.58</v>
      </c>
      <c r="F27" s="80">
        <f>F43</f>
        <v>26927.1358</v>
      </c>
      <c r="G27" s="81">
        <f t="shared" si="0"/>
        <v>-2944.7400000000052</v>
      </c>
    </row>
    <row r="28" spans="1:7" s="39" customFormat="1" ht="14.25">
      <c r="A28" s="41" t="s">
        <v>33</v>
      </c>
      <c r="B28" s="140" t="s">
        <v>34</v>
      </c>
      <c r="C28" s="46">
        <v>0</v>
      </c>
      <c r="D28" s="81">
        <v>0</v>
      </c>
      <c r="E28" s="81">
        <v>0</v>
      </c>
      <c r="F28" s="80">
        <f>D28</f>
        <v>0</v>
      </c>
      <c r="G28" s="81">
        <f t="shared" si="0"/>
        <v>0</v>
      </c>
    </row>
    <row r="29" spans="1:7" s="39" customFormat="1" ht="14.25">
      <c r="A29" s="41" t="s">
        <v>35</v>
      </c>
      <c r="B29" s="140" t="s">
        <v>36</v>
      </c>
      <c r="C29" s="101"/>
      <c r="D29" s="81">
        <f>SUM(D30:D33)</f>
        <v>1727639.73</v>
      </c>
      <c r="E29" s="81">
        <f>SUM(E30:E33)</f>
        <v>1630066.09</v>
      </c>
      <c r="F29" s="80">
        <f t="shared" si="1"/>
        <v>1727639.73</v>
      </c>
      <c r="G29" s="81">
        <f>SUM(G30:G33)</f>
        <v>-97573.63999999987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24274.44</v>
      </c>
      <c r="E30" s="88">
        <v>22756.22</v>
      </c>
      <c r="F30" s="87">
        <v>1518.22</v>
      </c>
      <c r="G30" s="88">
        <f>E30-D30</f>
        <v>-1518.2199999999975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513139.05</v>
      </c>
      <c r="E31" s="88">
        <v>470436.02</v>
      </c>
      <c r="F31" s="87">
        <f t="shared" si="1"/>
        <v>513139.05</v>
      </c>
      <c r="G31" s="88">
        <f>E31-D31</f>
        <v>-42703.02999999997</v>
      </c>
    </row>
    <row r="32" spans="1:7" ht="14.25" customHeight="1">
      <c r="A32" s="34" t="s">
        <v>42</v>
      </c>
      <c r="B32" s="34" t="s">
        <v>40</v>
      </c>
      <c r="C32" s="149">
        <v>0</v>
      </c>
      <c r="D32" s="88">
        <v>0</v>
      </c>
      <c r="E32" s="88">
        <v>0</v>
      </c>
      <c r="F32" s="87">
        <f t="shared" si="1"/>
        <v>0</v>
      </c>
      <c r="G32" s="88">
        <f>E32-D32</f>
        <v>0</v>
      </c>
    </row>
    <row r="33" spans="1:7" ht="15" customHeight="1">
      <c r="A33" s="34" t="s">
        <v>41</v>
      </c>
      <c r="B33" s="34" t="s">
        <v>43</v>
      </c>
      <c r="C33" s="103" t="s">
        <v>301</v>
      </c>
      <c r="D33" s="88">
        <v>1190226.24</v>
      </c>
      <c r="E33" s="88">
        <v>1136873.85</v>
      </c>
      <c r="F33" s="87">
        <f t="shared" si="1"/>
        <v>1190226.24</v>
      </c>
      <c r="G33" s="88">
        <f>E33-D33</f>
        <v>-53352.3899999999</v>
      </c>
    </row>
    <row r="34" spans="1:10" s="106" customFormat="1" ht="9" customHeight="1" thickBot="1">
      <c r="A34" s="108"/>
      <c r="B34" s="108"/>
      <c r="C34" s="108"/>
      <c r="D34" s="105"/>
      <c r="E34" s="105"/>
      <c r="F34" s="105"/>
      <c r="G34" s="105"/>
      <c r="H34" s="105"/>
      <c r="I34" s="105"/>
      <c r="J34" s="105"/>
    </row>
    <row r="35" spans="1:9" s="71" customFormat="1" ht="15.75" thickBot="1">
      <c r="A35" s="362" t="s">
        <v>420</v>
      </c>
      <c r="B35" s="363"/>
      <c r="C35" s="363"/>
      <c r="D35" s="69">
        <f>D13+D19+D24+D25+D26+D27+D28+D29-E19-E24-E25-E26-E27-E28-E29</f>
        <v>920027.8799999997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557</v>
      </c>
      <c r="B37" s="68"/>
      <c r="C37" s="68"/>
      <c r="D37" s="73"/>
      <c r="E37" s="74"/>
      <c r="F37" s="74"/>
      <c r="G37" s="151">
        <f>G15+E28-F28</f>
        <v>171860.85</v>
      </c>
      <c r="H37" s="66"/>
      <c r="I37" s="66"/>
    </row>
    <row r="38" spans="1:9" s="71" customFormat="1" ht="15.75" thickBot="1">
      <c r="A38" s="67" t="s">
        <v>558</v>
      </c>
      <c r="B38" s="68"/>
      <c r="C38" s="68"/>
      <c r="D38" s="73"/>
      <c r="E38" s="74"/>
      <c r="F38" s="74"/>
      <c r="G38" s="151">
        <f>G16+E27-F27</f>
        <v>294073.4143</v>
      </c>
      <c r="H38" s="66"/>
      <c r="I38" s="66"/>
    </row>
    <row r="39" spans="1:9" s="71" customFormat="1" ht="15">
      <c r="A39" s="72"/>
      <c r="B39" s="72"/>
      <c r="C39" s="72"/>
      <c r="D39" s="40"/>
      <c r="E39" s="70"/>
      <c r="F39" s="70"/>
      <c r="G39" s="40"/>
      <c r="H39" s="66"/>
      <c r="I39" s="66"/>
    </row>
    <row r="40" spans="1:9" ht="24" customHeight="1">
      <c r="A40" s="321" t="s">
        <v>44</v>
      </c>
      <c r="B40" s="321"/>
      <c r="C40" s="321"/>
      <c r="D40" s="321"/>
      <c r="E40" s="321"/>
      <c r="F40" s="321"/>
      <c r="G40" s="321"/>
      <c r="H40" s="321"/>
      <c r="I40" s="321"/>
    </row>
    <row r="41" ht="8.25" customHeight="1"/>
    <row r="42" spans="1:7" s="179" customFormat="1" ht="28.5" customHeight="1">
      <c r="A42" s="109" t="s">
        <v>11</v>
      </c>
      <c r="B42" s="188" t="s">
        <v>45</v>
      </c>
      <c r="C42" s="189"/>
      <c r="D42" s="109" t="s">
        <v>172</v>
      </c>
      <c r="E42" s="109" t="s">
        <v>171</v>
      </c>
      <c r="F42" s="340" t="s">
        <v>46</v>
      </c>
      <c r="G42" s="351"/>
    </row>
    <row r="43" spans="1:7" s="119" customFormat="1" ht="14.25" customHeight="1">
      <c r="A43" s="113" t="s">
        <v>47</v>
      </c>
      <c r="B43" s="342" t="s">
        <v>114</v>
      </c>
      <c r="C43" s="345"/>
      <c r="D43" s="180"/>
      <c r="E43" s="180"/>
      <c r="F43" s="356">
        <f>SUM(F44:L46)</f>
        <v>26927.1358</v>
      </c>
      <c r="G43" s="351"/>
    </row>
    <row r="44" spans="1:7" ht="14.25" customHeight="1">
      <c r="A44" s="34" t="s">
        <v>16</v>
      </c>
      <c r="B44" s="325" t="s">
        <v>663</v>
      </c>
      <c r="C44" s="350"/>
      <c r="D44" s="158"/>
      <c r="E44" s="159" t="s">
        <v>286</v>
      </c>
      <c r="F44" s="344">
        <v>11200</v>
      </c>
      <c r="G44" s="344"/>
    </row>
    <row r="45" spans="1:7" ht="14.25" customHeight="1">
      <c r="A45" s="34" t="s">
        <v>18</v>
      </c>
      <c r="B45" s="325" t="s">
        <v>692</v>
      </c>
      <c r="C45" s="327"/>
      <c r="D45" s="158"/>
      <c r="E45" s="159"/>
      <c r="F45" s="355">
        <v>15000</v>
      </c>
      <c r="G45" s="355"/>
    </row>
    <row r="46" spans="1:7" ht="14.25" customHeight="1">
      <c r="A46" s="34" t="s">
        <v>20</v>
      </c>
      <c r="B46" s="194" t="s">
        <v>207</v>
      </c>
      <c r="C46" s="195"/>
      <c r="D46" s="202"/>
      <c r="E46" s="202"/>
      <c r="F46" s="355">
        <f>E27*1%</f>
        <v>727.1358</v>
      </c>
      <c r="G46" s="355"/>
    </row>
    <row r="47" spans="2:5" ht="8.25" customHeight="1">
      <c r="B47" s="162"/>
      <c r="C47" s="162"/>
      <c r="D47" s="162"/>
      <c r="E47" s="162"/>
    </row>
    <row r="48" spans="1:6" s="71" customFormat="1" ht="15">
      <c r="A48" s="71" t="s">
        <v>55</v>
      </c>
      <c r="C48" s="71" t="s">
        <v>49</v>
      </c>
      <c r="F48" s="71" t="s">
        <v>93</v>
      </c>
    </row>
    <row r="49" s="71" customFormat="1" ht="13.5" customHeight="1">
      <c r="F49" s="132" t="s">
        <v>296</v>
      </c>
    </row>
    <row r="50" s="71" customFormat="1" ht="15">
      <c r="A50" s="71" t="s">
        <v>50</v>
      </c>
    </row>
    <row r="51" spans="3:7" s="71" customFormat="1" ht="15">
      <c r="C51" s="134" t="s">
        <v>51</v>
      </c>
      <c r="E51" s="134"/>
      <c r="F51" s="134"/>
      <c r="G51" s="134"/>
    </row>
    <row r="52" s="71" customFormat="1" ht="15"/>
    <row r="53" s="71" customFormat="1" ht="15"/>
  </sheetData>
  <sheetProtection/>
  <mergeCells count="18">
    <mergeCell ref="A1:I1"/>
    <mergeCell ref="A2:I2"/>
    <mergeCell ref="A5:I5"/>
    <mergeCell ref="A10:I10"/>
    <mergeCell ref="A3:K3"/>
    <mergeCell ref="A13:C13"/>
    <mergeCell ref="A11:I11"/>
    <mergeCell ref="A12:I12"/>
    <mergeCell ref="A35:C35"/>
    <mergeCell ref="F46:G46"/>
    <mergeCell ref="F44:G44"/>
    <mergeCell ref="F45:G45"/>
    <mergeCell ref="B44:C44"/>
    <mergeCell ref="B45:C45"/>
    <mergeCell ref="F42:G42"/>
    <mergeCell ref="F43:G43"/>
    <mergeCell ref="B43:C43"/>
    <mergeCell ref="A40:I40"/>
  </mergeCells>
  <printOptions/>
  <pageMargins left="0.5905511811023623" right="0" top="0.5905511811023623" bottom="0.5905511811023623" header="0.31496062992125984" footer="0.31496062992125984"/>
  <pageSetup horizontalDpi="600" verticalDpi="6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7030A0"/>
  </sheetPr>
  <dimension ref="A1:P49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5.57421875" style="61" customWidth="1"/>
    <col min="2" max="2" width="51.8515625" style="61" customWidth="1"/>
    <col min="3" max="3" width="15.7109375" style="61" customWidth="1"/>
    <col min="4" max="4" width="14.8515625" style="61" customWidth="1"/>
    <col min="5" max="5" width="13.28125" style="61" customWidth="1"/>
    <col min="6" max="6" width="12.85156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hidden="1" customWidth="1" outlineLevel="1"/>
    <col min="12" max="13" width="9.140625" style="61" hidden="1" customWidth="1" outlineLevel="1"/>
    <col min="14" max="14" width="9.140625" style="61" customWidth="1" collapsed="1"/>
    <col min="15" max="15" width="10.00390625" style="61" bestFit="1" customWidth="1"/>
    <col min="16" max="16" width="15.8515625" style="61" customWidth="1"/>
    <col min="17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13" s="63" customFormat="1" ht="16.5" customHeight="1">
      <c r="A7" s="63" t="s">
        <v>2</v>
      </c>
      <c r="F7" s="64" t="s">
        <v>198</v>
      </c>
      <c r="H7" s="64"/>
      <c r="L7" s="65"/>
      <c r="M7" s="63" t="s">
        <v>133</v>
      </c>
    </row>
    <row r="8" spans="1:8" s="63" customFormat="1" ht="12.75">
      <c r="A8" s="63" t="s">
        <v>3</v>
      </c>
      <c r="F8" s="64" t="s">
        <v>199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28530.32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'[1]Аэропортовская 9'!$G$35</f>
        <v>-8194.491399999999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449</v>
      </c>
      <c r="G16" s="76" t="s">
        <v>299</v>
      </c>
    </row>
    <row r="17" spans="1:16" s="63" customFormat="1" ht="14.25">
      <c r="A17" s="79" t="s">
        <v>14</v>
      </c>
      <c r="B17" s="41" t="s">
        <v>15</v>
      </c>
      <c r="C17" s="211">
        <f>C18+C19+C20+C21</f>
        <v>9.53</v>
      </c>
      <c r="D17" s="80">
        <v>103377.58</v>
      </c>
      <c r="E17" s="80">
        <v>96271.2</v>
      </c>
      <c r="F17" s="80">
        <f>D17</f>
        <v>103377.58</v>
      </c>
      <c r="G17" s="81">
        <f>E17-D17</f>
        <v>-7106.380000000005</v>
      </c>
      <c r="H17" s="82">
        <f>C17</f>
        <v>9.53</v>
      </c>
      <c r="I17" s="83"/>
      <c r="J17" s="83"/>
      <c r="K17" s="83"/>
      <c r="O17" s="82"/>
      <c r="P17" s="84"/>
    </row>
    <row r="18" spans="1:9" s="63" customFormat="1" ht="15">
      <c r="A18" s="85" t="s">
        <v>16</v>
      </c>
      <c r="B18" s="34" t="s">
        <v>17</v>
      </c>
      <c r="C18" s="88">
        <v>3.34</v>
      </c>
      <c r="D18" s="87">
        <f>D17*I18</f>
        <v>36230.96717733473</v>
      </c>
      <c r="E18" s="87">
        <f>E17*I18</f>
        <v>33740.378593913956</v>
      </c>
      <c r="F18" s="87">
        <f>D18</f>
        <v>36230.96717733473</v>
      </c>
      <c r="G18" s="88">
        <f aca="true" t="shared" si="0" ref="G18:G26">E18-D18</f>
        <v>-2490.588583420773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88">
        <v>1.63</v>
      </c>
      <c r="D19" s="87">
        <f>D17*I19</f>
        <v>17681.579790136413</v>
      </c>
      <c r="E19" s="87">
        <f>E17*I19</f>
        <v>16466.112906610702</v>
      </c>
      <c r="F19" s="87">
        <f>D19</f>
        <v>17681.579790136413</v>
      </c>
      <c r="G19" s="88">
        <f t="shared" si="0"/>
        <v>-1215.4668835257107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88">
        <v>1.63</v>
      </c>
      <c r="D20" s="87">
        <f>D17*I20</f>
        <v>17681.579790136413</v>
      </c>
      <c r="E20" s="87">
        <f>E17*I20</f>
        <v>16466.112906610702</v>
      </c>
      <c r="F20" s="87">
        <f>D20</f>
        <v>17681.579790136413</v>
      </c>
      <c r="G20" s="88">
        <f t="shared" si="0"/>
        <v>-1215.4668835257107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88">
        <v>2.93</v>
      </c>
      <c r="D21" s="87">
        <f>D17*I21</f>
        <v>31783.45324239245</v>
      </c>
      <c r="E21" s="87">
        <f>E17*I21</f>
        <v>29598.59559286464</v>
      </c>
      <c r="F21" s="87">
        <f>D21</f>
        <v>31783.45324239245</v>
      </c>
      <c r="G21" s="88">
        <f t="shared" si="0"/>
        <v>-2184.8576495278103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91">
        <v>0</v>
      </c>
      <c r="D22" s="91">
        <v>0</v>
      </c>
      <c r="E22" s="91">
        <v>0</v>
      </c>
      <c r="F22" s="91">
        <v>0</v>
      </c>
      <c r="G22" s="91">
        <f t="shared" si="0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91">
        <v>0</v>
      </c>
      <c r="D23" s="91">
        <v>0</v>
      </c>
      <c r="E23" s="91">
        <v>0</v>
      </c>
      <c r="F23" s="91">
        <f>D23</f>
        <v>0</v>
      </c>
      <c r="G23" s="91">
        <f t="shared" si="0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91">
        <v>0</v>
      </c>
      <c r="D24" s="91">
        <v>0</v>
      </c>
      <c r="E24" s="91">
        <v>0</v>
      </c>
      <c r="F24" s="91">
        <v>0</v>
      </c>
      <c r="G24" s="91">
        <f t="shared" si="0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284">
        <v>1.8</v>
      </c>
      <c r="D25" s="91">
        <v>19450.8</v>
      </c>
      <c r="E25" s="91">
        <v>18187.99</v>
      </c>
      <c r="F25" s="91">
        <f>F40</f>
        <v>17423.0099</v>
      </c>
      <c r="G25" s="91">
        <f>E25-D25</f>
        <v>-1262.8099999999977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81">
        <v>39.62</v>
      </c>
      <c r="D26" s="81">
        <v>0</v>
      </c>
      <c r="E26" s="81">
        <v>0</v>
      </c>
      <c r="F26" s="91">
        <f>D26</f>
        <v>0</v>
      </c>
      <c r="G26" s="81">
        <f t="shared" si="0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81"/>
      <c r="D27" s="81">
        <f>SUM(D28:D31)</f>
        <v>461373.82</v>
      </c>
      <c r="E27" s="81">
        <f>SUM(E28:E31)</f>
        <v>432330.27</v>
      </c>
      <c r="F27" s="81">
        <f>SUM(F28:F31)</f>
        <v>461373.82</v>
      </c>
      <c r="G27" s="81">
        <f>SUM(G28:G31)</f>
        <v>-29043.55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1186.86</v>
      </c>
      <c r="E28" s="88">
        <v>1109.59</v>
      </c>
      <c r="F28" s="88">
        <f>D28</f>
        <v>1186.86</v>
      </c>
      <c r="G28" s="88">
        <f>E28-D28</f>
        <v>-77.26999999999998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97145.38</v>
      </c>
      <c r="E29" s="88">
        <v>91909.16</v>
      </c>
      <c r="F29" s="88">
        <f>D29</f>
        <v>97145.38</v>
      </c>
      <c r="G29" s="88">
        <f>E29-D29</f>
        <v>-5236.220000000001</v>
      </c>
    </row>
    <row r="30" spans="1:7" ht="15">
      <c r="A30" s="34" t="s">
        <v>42</v>
      </c>
      <c r="B30" s="34" t="s">
        <v>143</v>
      </c>
      <c r="C30" s="149"/>
      <c r="D30" s="88">
        <v>0</v>
      </c>
      <c r="E30" s="88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363041.58</v>
      </c>
      <c r="E31" s="88">
        <v>339311.52</v>
      </c>
      <c r="F31" s="88">
        <f>D31</f>
        <v>363041.58</v>
      </c>
      <c r="G31" s="88">
        <f>E31-D31</f>
        <v>-23730.059999999998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65943.06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-7429.511299999998</v>
      </c>
      <c r="H35" s="66"/>
      <c r="I35" s="66"/>
    </row>
    <row r="36" spans="1:13" s="106" customFormat="1" ht="13.5">
      <c r="A36" s="108"/>
      <c r="B36" s="108"/>
      <c r="C36" s="108"/>
      <c r="D36" s="108"/>
      <c r="E36" s="105"/>
      <c r="F36" s="105"/>
      <c r="G36" s="105"/>
      <c r="H36" s="105"/>
      <c r="I36" s="105"/>
      <c r="J36" s="105"/>
      <c r="K36" s="105"/>
      <c r="L36" s="105"/>
      <c r="M36" s="105"/>
    </row>
    <row r="37" spans="1:13" s="106" customFormat="1" ht="27" customHeight="1">
      <c r="A37" s="321" t="s">
        <v>44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  <c r="L37" s="105"/>
      <c r="M37" s="105"/>
    </row>
    <row r="39" spans="1:11" ht="28.5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J39" s="78"/>
      <c r="K39" s="78"/>
    </row>
    <row r="40" spans="1:14" s="78" customFormat="1" ht="15">
      <c r="A40" s="113" t="s">
        <v>47</v>
      </c>
      <c r="B40" s="342" t="s">
        <v>114</v>
      </c>
      <c r="C40" s="345"/>
      <c r="D40" s="115"/>
      <c r="E40" s="115"/>
      <c r="F40" s="356">
        <f>SUM(F41:G44)</f>
        <v>17423.0099</v>
      </c>
      <c r="G40" s="351"/>
      <c r="H40" s="270"/>
      <c r="I40" s="271"/>
      <c r="J40" s="119"/>
      <c r="K40" s="119"/>
      <c r="N40" s="112"/>
    </row>
    <row r="41" spans="1:7" s="63" customFormat="1" ht="15">
      <c r="A41" s="34" t="s">
        <v>16</v>
      </c>
      <c r="B41" s="325" t="s">
        <v>625</v>
      </c>
      <c r="C41" s="327"/>
      <c r="D41" s="123" t="s">
        <v>265</v>
      </c>
      <c r="E41" s="123">
        <v>0.02</v>
      </c>
      <c r="F41" s="366">
        <v>3567.13</v>
      </c>
      <c r="G41" s="367"/>
    </row>
    <row r="42" spans="1:11" s="71" customFormat="1" ht="15">
      <c r="A42" s="34" t="s">
        <v>18</v>
      </c>
      <c r="B42" s="325" t="s">
        <v>663</v>
      </c>
      <c r="C42" s="350"/>
      <c r="D42" s="123"/>
      <c r="E42" s="159" t="s">
        <v>286</v>
      </c>
      <c r="F42" s="355">
        <v>3080</v>
      </c>
      <c r="G42" s="355"/>
      <c r="H42" s="63"/>
      <c r="I42" s="63"/>
      <c r="J42" s="63"/>
      <c r="K42" s="63"/>
    </row>
    <row r="43" spans="1:11" s="71" customFormat="1" ht="15">
      <c r="A43" s="34" t="s">
        <v>20</v>
      </c>
      <c r="B43" s="325" t="s">
        <v>178</v>
      </c>
      <c r="C43" s="350"/>
      <c r="D43" s="123" t="s">
        <v>756</v>
      </c>
      <c r="E43" s="159">
        <v>0.3</v>
      </c>
      <c r="F43" s="355">
        <v>10594</v>
      </c>
      <c r="G43" s="355"/>
      <c r="H43" s="63"/>
      <c r="I43" s="63"/>
      <c r="J43" s="63"/>
      <c r="K43" s="63"/>
    </row>
    <row r="44" spans="1:10" s="63" customFormat="1" ht="15">
      <c r="A44" s="34" t="s">
        <v>22</v>
      </c>
      <c r="B44" s="364" t="s">
        <v>207</v>
      </c>
      <c r="C44" s="365"/>
      <c r="D44" s="129"/>
      <c r="E44" s="129"/>
      <c r="F44" s="355">
        <f>E25*1%</f>
        <v>181.87990000000002</v>
      </c>
      <c r="G44" s="355"/>
      <c r="H44" s="164"/>
      <c r="I44" s="164"/>
      <c r="J44" s="164"/>
    </row>
    <row r="45" s="63" customFormat="1" ht="12.75"/>
    <row r="46" spans="1:11" ht="15">
      <c r="A46" s="71" t="s">
        <v>55</v>
      </c>
      <c r="B46" s="71"/>
      <c r="C46" s="131" t="s">
        <v>49</v>
      </c>
      <c r="D46" s="71"/>
      <c r="E46" s="71"/>
      <c r="F46" s="71" t="s">
        <v>93</v>
      </c>
      <c r="G46" s="71"/>
      <c r="H46" s="63"/>
      <c r="I46" s="63"/>
      <c r="J46" s="63"/>
      <c r="K46" s="63"/>
    </row>
    <row r="47" spans="1:7" ht="15">
      <c r="A47" s="71"/>
      <c r="B47" s="71"/>
      <c r="C47" s="131"/>
      <c r="D47" s="71"/>
      <c r="E47" s="71"/>
      <c r="F47" s="132" t="s">
        <v>296</v>
      </c>
      <c r="G47" s="71"/>
    </row>
    <row r="48" spans="1:7" ht="15">
      <c r="A48" s="71" t="s">
        <v>50</v>
      </c>
      <c r="B48" s="71"/>
      <c r="C48" s="131"/>
      <c r="D48" s="71"/>
      <c r="E48" s="71"/>
      <c r="F48" s="71"/>
      <c r="G48" s="71"/>
    </row>
    <row r="49" spans="1:7" ht="15">
      <c r="A49" s="71"/>
      <c r="B49" s="71"/>
      <c r="C49" s="133" t="s">
        <v>51</v>
      </c>
      <c r="D49" s="71"/>
      <c r="E49" s="134"/>
      <c r="F49" s="134"/>
      <c r="G49" s="134"/>
    </row>
  </sheetData>
  <sheetProtection/>
  <mergeCells count="22">
    <mergeCell ref="B44:C44"/>
    <mergeCell ref="F44:G44"/>
    <mergeCell ref="B42:C42"/>
    <mergeCell ref="F42:G42"/>
    <mergeCell ref="B40:C40"/>
    <mergeCell ref="F40:G40"/>
    <mergeCell ref="B41:C41"/>
    <mergeCell ref="F41:G41"/>
    <mergeCell ref="B43:C43"/>
    <mergeCell ref="F43:G43"/>
    <mergeCell ref="A11:K11"/>
    <mergeCell ref="A12:C12"/>
    <mergeCell ref="A33:C33"/>
    <mergeCell ref="A37:K37"/>
    <mergeCell ref="B39:C39"/>
    <mergeCell ref="F39:G39"/>
    <mergeCell ref="A10:K10"/>
    <mergeCell ref="A1:K1"/>
    <mergeCell ref="A2:K2"/>
    <mergeCell ref="A3:K3"/>
    <mergeCell ref="A5:K5"/>
    <mergeCell ref="A9:K9"/>
  </mergeCells>
  <printOptions/>
  <pageMargins left="0.7" right="0.7" top="0.75" bottom="0.75" header="0.3" footer="0.3"/>
  <pageSetup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245</v>
      </c>
      <c r="H7" s="64"/>
    </row>
    <row r="8" spans="1:8" s="63" customFormat="1" ht="12.75">
      <c r="A8" s="63" t="s">
        <v>3</v>
      </c>
      <c r="F8" s="64" t="s">
        <v>454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90517.8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'[1]Хрустальная 52'!$G$35</f>
        <v>-175679.189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455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9.969999999999999</v>
      </c>
      <c r="D17" s="80">
        <v>555279.58</v>
      </c>
      <c r="E17" s="80">
        <v>526632.28</v>
      </c>
      <c r="F17" s="80">
        <f aca="true" t="shared" si="0" ref="F17:F24">D17</f>
        <v>555279.58</v>
      </c>
      <c r="G17" s="81">
        <f>E17-D17</f>
        <v>-28647.29999999993</v>
      </c>
      <c r="H17" s="82">
        <f>C17</f>
        <v>9.969999999999999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186021.44405215647</v>
      </c>
      <c r="E18" s="87">
        <f>E17*I18</f>
        <v>176424.45488465397</v>
      </c>
      <c r="F18" s="87">
        <f t="shared" si="0"/>
        <v>186021.44405215647</v>
      </c>
      <c r="G18" s="88">
        <f aca="true" t="shared" si="1" ref="G18:G26">E18-D18</f>
        <v>-9596.9891675025</v>
      </c>
      <c r="H18" s="82">
        <f>C18</f>
        <v>3.34</v>
      </c>
      <c r="I18" s="63">
        <f>H18/H17</f>
        <v>0.3350050150451354</v>
      </c>
    </row>
    <row r="19" spans="1:9" s="63" customFormat="1" ht="15">
      <c r="A19" s="85" t="s">
        <v>18</v>
      </c>
      <c r="B19" s="34" t="s">
        <v>19</v>
      </c>
      <c r="C19" s="89">
        <v>1.63</v>
      </c>
      <c r="D19" s="87">
        <f>D17*I19</f>
        <v>90782.92030090271</v>
      </c>
      <c r="E19" s="87">
        <f>E17*I19</f>
        <v>86099.3597191575</v>
      </c>
      <c r="F19" s="87">
        <f t="shared" si="0"/>
        <v>90782.92030090271</v>
      </c>
      <c r="G19" s="88">
        <f t="shared" si="1"/>
        <v>-4683.560581745216</v>
      </c>
      <c r="H19" s="82">
        <f>C19</f>
        <v>1.63</v>
      </c>
      <c r="I19" s="63">
        <f>H19/H17</f>
        <v>0.16349047141424275</v>
      </c>
    </row>
    <row r="20" spans="1:9" s="63" customFormat="1" ht="15">
      <c r="A20" s="85" t="s">
        <v>20</v>
      </c>
      <c r="B20" s="34" t="s">
        <v>21</v>
      </c>
      <c r="C20" s="89">
        <v>2.07</v>
      </c>
      <c r="D20" s="87">
        <f>D17*I20</f>
        <v>115288.7392778335</v>
      </c>
      <c r="E20" s="87">
        <f>E17*I20</f>
        <v>109340.90467402208</v>
      </c>
      <c r="F20" s="87">
        <f t="shared" si="0"/>
        <v>115288.7392778335</v>
      </c>
      <c r="G20" s="88">
        <f t="shared" si="1"/>
        <v>-5947.834603811425</v>
      </c>
      <c r="H20" s="82">
        <f>C20</f>
        <v>2.07</v>
      </c>
      <c r="I20" s="63">
        <f>H20/H17</f>
        <v>0.20762286860581747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163186.47636910735</v>
      </c>
      <c r="E21" s="87">
        <f>E17*I21</f>
        <v>154767.56072216653</v>
      </c>
      <c r="F21" s="87">
        <f t="shared" si="0"/>
        <v>163186.47636910735</v>
      </c>
      <c r="G21" s="88">
        <f t="shared" si="1"/>
        <v>-8418.915646940819</v>
      </c>
      <c r="H21" s="82">
        <f>C21</f>
        <v>2.93</v>
      </c>
      <c r="I21" s="63">
        <f>H21/H17</f>
        <v>0.29388164493480445</v>
      </c>
    </row>
    <row r="22" spans="1:11" s="93" customFormat="1" ht="14.25">
      <c r="A22" s="90" t="s">
        <v>25</v>
      </c>
      <c r="B22" s="90" t="s">
        <v>26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v>108277.16</v>
      </c>
      <c r="E25" s="91">
        <v>104944.69</v>
      </c>
      <c r="F25" s="91">
        <f>F39</f>
        <v>17059.5769</v>
      </c>
      <c r="G25" s="91">
        <f>E25-D25</f>
        <v>-3332.470000000001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1902.11</v>
      </c>
      <c r="D26" s="94">
        <v>0</v>
      </c>
      <c r="E26" s="94">
        <v>0</v>
      </c>
      <c r="F26" s="94">
        <f>D26</f>
        <v>0</v>
      </c>
      <c r="G26" s="94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2231348.0100000002</v>
      </c>
      <c r="E27" s="81">
        <f>SUM(E28:E31)</f>
        <v>2182879.06</v>
      </c>
      <c r="F27" s="81">
        <f>SUM(F28:F31)</f>
        <v>2231348.0100000002</v>
      </c>
      <c r="G27" s="81">
        <f>SUM(G28:G31)</f>
        <v>-48468.950000000186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37367.88</v>
      </c>
      <c r="E28" s="88">
        <v>36262.88</v>
      </c>
      <c r="F28" s="88">
        <f>D28</f>
        <v>37367.88</v>
      </c>
      <c r="G28" s="88">
        <f>E28-D28</f>
        <v>-1105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364358.62</v>
      </c>
      <c r="E29" s="88">
        <v>364329.76</v>
      </c>
      <c r="F29" s="88">
        <f>D29</f>
        <v>364358.62</v>
      </c>
      <c r="G29" s="88">
        <f>E29-D29</f>
        <v>-28.85999999998603</v>
      </c>
    </row>
    <row r="30" spans="1:7" ht="15">
      <c r="A30" s="34" t="s">
        <v>42</v>
      </c>
      <c r="B30" s="34" t="s">
        <v>143</v>
      </c>
      <c r="C30" s="149" t="s">
        <v>382</v>
      </c>
      <c r="D30" s="226">
        <v>568629.64</v>
      </c>
      <c r="E30" s="226">
        <v>557061.78</v>
      </c>
      <c r="F30" s="88">
        <f>D30</f>
        <v>568629.64</v>
      </c>
      <c r="G30" s="88">
        <f>E30-D30</f>
        <v>-11567.859999999986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1260991.87</v>
      </c>
      <c r="E31" s="88">
        <v>1225224.64</v>
      </c>
      <c r="F31" s="88">
        <f>D31</f>
        <v>1260991.87</v>
      </c>
      <c r="G31" s="88">
        <f>E31-D31</f>
        <v>-35767.230000000214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170966.52000000048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1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-87794.07590000001</v>
      </c>
      <c r="H35" s="66"/>
      <c r="I35" s="66"/>
      <c r="K35" s="152"/>
    </row>
    <row r="36" spans="1:11" ht="31.5" customHeight="1">
      <c r="A36" s="321" t="s">
        <v>196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SUM(F40:G42)</f>
        <v>17059.5769</v>
      </c>
      <c r="G39" s="351"/>
      <c r="H39" s="270"/>
      <c r="I39" s="271"/>
      <c r="L39" s="120"/>
    </row>
    <row r="40" spans="1:12" ht="15">
      <c r="A40" s="34" t="s">
        <v>16</v>
      </c>
      <c r="B40" s="325" t="s">
        <v>772</v>
      </c>
      <c r="C40" s="327"/>
      <c r="D40" s="123" t="s">
        <v>259</v>
      </c>
      <c r="E40" s="123">
        <v>0.02</v>
      </c>
      <c r="F40" s="366">
        <v>2010.13</v>
      </c>
      <c r="G40" s="367"/>
      <c r="H40" s="272"/>
      <c r="I40" s="273"/>
      <c r="L40" s="124"/>
    </row>
    <row r="41" spans="1:12" ht="15">
      <c r="A41" s="34" t="s">
        <v>18</v>
      </c>
      <c r="B41" s="325" t="s">
        <v>663</v>
      </c>
      <c r="C41" s="350"/>
      <c r="D41" s="123"/>
      <c r="E41" s="159" t="s">
        <v>286</v>
      </c>
      <c r="F41" s="355">
        <v>14000</v>
      </c>
      <c r="G41" s="355"/>
      <c r="H41" s="40"/>
      <c r="I41" s="40"/>
      <c r="L41" s="124"/>
    </row>
    <row r="42" spans="1:11" s="71" customFormat="1" ht="15">
      <c r="A42" s="34" t="s">
        <v>20</v>
      </c>
      <c r="B42" s="364" t="s">
        <v>207</v>
      </c>
      <c r="C42" s="365"/>
      <c r="D42" s="129"/>
      <c r="E42" s="129"/>
      <c r="F42" s="355">
        <f>E25*1%</f>
        <v>1049.4469000000001</v>
      </c>
      <c r="G42" s="355"/>
      <c r="H42" s="63"/>
      <c r="I42" s="63"/>
      <c r="J42" s="63"/>
      <c r="K42" s="63"/>
    </row>
    <row r="43" spans="1:7" s="63" customFormat="1" ht="9" customHeight="1">
      <c r="A43" s="176"/>
      <c r="B43" s="191"/>
      <c r="C43" s="191"/>
      <c r="D43" s="229"/>
      <c r="E43" s="229"/>
      <c r="F43" s="192"/>
      <c r="G43" s="192"/>
    </row>
    <row r="44" spans="1:11" s="63" customFormat="1" ht="15">
      <c r="A44" s="71" t="s">
        <v>55</v>
      </c>
      <c r="B44" s="71"/>
      <c r="C44" s="131" t="s">
        <v>49</v>
      </c>
      <c r="D44" s="71"/>
      <c r="E44" s="71"/>
      <c r="F44" s="71" t="s">
        <v>93</v>
      </c>
      <c r="G44" s="71"/>
      <c r="H44" s="71"/>
      <c r="I44" s="71"/>
      <c r="J44" s="71"/>
      <c r="K44" s="71"/>
    </row>
    <row r="45" spans="1:7" s="63" customFormat="1" ht="15">
      <c r="A45" s="71"/>
      <c r="B45" s="71"/>
      <c r="C45" s="131"/>
      <c r="D45" s="71"/>
      <c r="E45" s="71"/>
      <c r="F45" s="132" t="s">
        <v>296</v>
      </c>
      <c r="G45" s="71"/>
    </row>
    <row r="46" spans="1:10" s="63" customFormat="1" ht="15">
      <c r="A46" s="71" t="s">
        <v>50</v>
      </c>
      <c r="B46" s="71"/>
      <c r="C46" s="131"/>
      <c r="D46" s="71"/>
      <c r="E46" s="71"/>
      <c r="F46" s="71"/>
      <c r="G46" s="71"/>
      <c r="H46" s="164"/>
      <c r="I46" s="164"/>
      <c r="J46" s="164"/>
    </row>
    <row r="47" spans="1:11" ht="15">
      <c r="A47" s="71"/>
      <c r="B47" s="71"/>
      <c r="C47" s="133" t="s">
        <v>51</v>
      </c>
      <c r="D47" s="71"/>
      <c r="E47" s="134"/>
      <c r="F47" s="134"/>
      <c r="G47" s="134"/>
      <c r="H47" s="63"/>
      <c r="I47" s="63"/>
      <c r="J47" s="63"/>
      <c r="K47" s="63"/>
    </row>
    <row r="48" spans="1:11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</row>
  </sheetData>
  <sheetProtection/>
  <mergeCells count="20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2:C42"/>
    <mergeCell ref="F42:G42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7030A0"/>
  </sheetPr>
  <dimension ref="A1:N47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240</v>
      </c>
      <c r="H7" s="64"/>
    </row>
    <row r="8" spans="1:8" s="63" customFormat="1" ht="12.75">
      <c r="A8" s="63" t="s">
        <v>3</v>
      </c>
      <c r="F8" s="64" t="s">
        <v>241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132608.57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'[1]Хрустальная 56'!$G$35</f>
        <v>5783.841899999999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455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9.969999999999999</v>
      </c>
      <c r="D17" s="80">
        <v>393405.08</v>
      </c>
      <c r="E17" s="80">
        <v>365489.47</v>
      </c>
      <c r="F17" s="80">
        <f aca="true" t="shared" si="0" ref="F17:F24">D17</f>
        <v>393405.08</v>
      </c>
      <c r="G17" s="81">
        <f>E17-D17</f>
        <v>-27915.610000000044</v>
      </c>
      <c r="H17" s="82">
        <f>C17</f>
        <v>9.969999999999999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131792.6747442327</v>
      </c>
      <c r="E18" s="87">
        <f>E17*I18</f>
        <v>122440.80539618856</v>
      </c>
      <c r="F18" s="87">
        <f t="shared" si="0"/>
        <v>131792.6747442327</v>
      </c>
      <c r="G18" s="88">
        <f aca="true" t="shared" si="1" ref="G18:G26">E18-D18</f>
        <v>-9351.869348044143</v>
      </c>
      <c r="H18" s="82">
        <f>C18</f>
        <v>3.34</v>
      </c>
      <c r="I18" s="63">
        <f>H18/H17</f>
        <v>0.3350050150451354</v>
      </c>
    </row>
    <row r="19" spans="1:9" s="63" customFormat="1" ht="15">
      <c r="A19" s="85" t="s">
        <v>18</v>
      </c>
      <c r="B19" s="34" t="s">
        <v>19</v>
      </c>
      <c r="C19" s="89">
        <v>1.63</v>
      </c>
      <c r="D19" s="87">
        <f>D17*I19</f>
        <v>64317.981985957886</v>
      </c>
      <c r="E19" s="87">
        <f>E17*I19</f>
        <v>59754.045747241726</v>
      </c>
      <c r="F19" s="87">
        <f t="shared" si="0"/>
        <v>64317.981985957886</v>
      </c>
      <c r="G19" s="88">
        <f t="shared" si="1"/>
        <v>-4563.93623871616</v>
      </c>
      <c r="H19" s="82">
        <f>C19</f>
        <v>1.63</v>
      </c>
      <c r="I19" s="63">
        <f>H19/H17</f>
        <v>0.16349047141424275</v>
      </c>
    </row>
    <row r="20" spans="1:9" s="63" customFormat="1" ht="15">
      <c r="A20" s="85" t="s">
        <v>20</v>
      </c>
      <c r="B20" s="34" t="s">
        <v>21</v>
      </c>
      <c r="C20" s="89">
        <v>2.07</v>
      </c>
      <c r="D20" s="87">
        <f>D17*I20</f>
        <v>81679.89123370111</v>
      </c>
      <c r="E20" s="87">
        <f>E17*I20</f>
        <v>75883.97220661986</v>
      </c>
      <c r="F20" s="87">
        <f t="shared" si="0"/>
        <v>81679.89123370111</v>
      </c>
      <c r="G20" s="88">
        <f t="shared" si="1"/>
        <v>-5795.919027081254</v>
      </c>
      <c r="H20" s="82">
        <f>C20</f>
        <v>2.07</v>
      </c>
      <c r="I20" s="63">
        <f>H20/H17</f>
        <v>0.20762286860581747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115614.53203610834</v>
      </c>
      <c r="E21" s="87">
        <f>E17*I21</f>
        <v>107410.64664994985</v>
      </c>
      <c r="F21" s="87">
        <f t="shared" si="0"/>
        <v>115614.53203610834</v>
      </c>
      <c r="G21" s="88">
        <f t="shared" si="1"/>
        <v>-8203.885386158494</v>
      </c>
      <c r="H21" s="82">
        <f>C21</f>
        <v>2.93</v>
      </c>
      <c r="I21" s="63">
        <f>H21/H17</f>
        <v>0.29388164493480445</v>
      </c>
    </row>
    <row r="22" spans="1:11" s="93" customFormat="1" ht="14.25">
      <c r="A22" s="90" t="s">
        <v>25</v>
      </c>
      <c r="B22" s="90" t="s">
        <v>26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v>78446.4</v>
      </c>
      <c r="E25" s="91">
        <v>72977.16</v>
      </c>
      <c r="F25" s="91">
        <f>F39</f>
        <v>9969.7716</v>
      </c>
      <c r="G25" s="91">
        <f>E25-D25</f>
        <v>-5469.239999999991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39.62</v>
      </c>
      <c r="D26" s="94">
        <v>0</v>
      </c>
      <c r="E26" s="94">
        <v>0</v>
      </c>
      <c r="F26" s="94">
        <f>D26</f>
        <v>0</v>
      </c>
      <c r="G26" s="94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1817990.52</v>
      </c>
      <c r="E27" s="81">
        <f>SUM(E28:E31)</f>
        <v>1779444.63</v>
      </c>
      <c r="F27" s="81">
        <f>SUM(F28:F31)</f>
        <v>1817990.52</v>
      </c>
      <c r="G27" s="81">
        <f>SUM(G28:G31)</f>
        <v>-38545.89000000009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28967.97</v>
      </c>
      <c r="E28" s="88">
        <v>26939.2</v>
      </c>
      <c r="F28" s="88">
        <f>D28</f>
        <v>28967.97</v>
      </c>
      <c r="G28" s="88">
        <f>E28-D28</f>
        <v>-2028.7700000000004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241168.98</v>
      </c>
      <c r="E29" s="88">
        <v>241706.05</v>
      </c>
      <c r="F29" s="88">
        <f>D29</f>
        <v>241168.98</v>
      </c>
      <c r="G29" s="88">
        <f>E29-D29</f>
        <v>537.0699999999779</v>
      </c>
    </row>
    <row r="30" spans="1:7" ht="15">
      <c r="A30" s="34" t="s">
        <v>42</v>
      </c>
      <c r="B30" s="34" t="s">
        <v>143</v>
      </c>
      <c r="C30" s="149" t="s">
        <v>382</v>
      </c>
      <c r="D30" s="226">
        <v>480098.84</v>
      </c>
      <c r="E30" s="226">
        <v>472549.56</v>
      </c>
      <c r="F30" s="88">
        <f>D30</f>
        <v>480098.84</v>
      </c>
      <c r="G30" s="88">
        <f>E30-D30</f>
        <v>-7549.280000000028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1067754.73</v>
      </c>
      <c r="E31" s="88">
        <v>1038249.82</v>
      </c>
      <c r="F31" s="88">
        <f>D31</f>
        <v>1067754.73</v>
      </c>
      <c r="G31" s="88">
        <f>E31-D31</f>
        <v>-29504.910000000033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204539.31000000052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1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68791.2303</v>
      </c>
      <c r="H35" s="66"/>
      <c r="I35" s="66"/>
      <c r="K35" s="152"/>
    </row>
    <row r="36" spans="1:11" ht="31.5" customHeight="1">
      <c r="A36" s="321" t="s">
        <v>196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SUM(F40:G41)</f>
        <v>9969.7716</v>
      </c>
      <c r="G39" s="351"/>
      <c r="H39" s="270"/>
      <c r="I39" s="271"/>
      <c r="L39" s="120"/>
    </row>
    <row r="40" spans="1:12" ht="15">
      <c r="A40" s="34" t="s">
        <v>16</v>
      </c>
      <c r="B40" s="325" t="s">
        <v>663</v>
      </c>
      <c r="C40" s="350"/>
      <c r="D40" s="123"/>
      <c r="E40" s="159" t="s">
        <v>286</v>
      </c>
      <c r="F40" s="355">
        <v>9240</v>
      </c>
      <c r="G40" s="355"/>
      <c r="H40" s="272"/>
      <c r="I40" s="273"/>
      <c r="L40" s="124"/>
    </row>
    <row r="41" spans="1:11" s="71" customFormat="1" ht="15">
      <c r="A41" s="34" t="s">
        <v>18</v>
      </c>
      <c r="B41" s="364" t="s">
        <v>207</v>
      </c>
      <c r="C41" s="365"/>
      <c r="D41" s="129"/>
      <c r="E41" s="129"/>
      <c r="F41" s="355">
        <f>E25*1%</f>
        <v>729.7716</v>
      </c>
      <c r="G41" s="355"/>
      <c r="H41" s="63"/>
      <c r="I41" s="63"/>
      <c r="J41" s="63"/>
      <c r="K41" s="63"/>
    </row>
    <row r="42" s="63" customFormat="1" ht="9" customHeight="1"/>
    <row r="43" spans="1:11" s="63" customFormat="1" ht="15">
      <c r="A43" s="71" t="s">
        <v>55</v>
      </c>
      <c r="B43" s="71"/>
      <c r="C43" s="131" t="s">
        <v>49</v>
      </c>
      <c r="D43" s="71"/>
      <c r="E43" s="71"/>
      <c r="F43" s="71" t="s">
        <v>93</v>
      </c>
      <c r="G43" s="71"/>
      <c r="H43" s="71"/>
      <c r="I43" s="71"/>
      <c r="J43" s="71"/>
      <c r="K43" s="71"/>
    </row>
    <row r="44" spans="1:7" s="63" customFormat="1" ht="15">
      <c r="A44" s="71"/>
      <c r="B44" s="71"/>
      <c r="C44" s="131"/>
      <c r="D44" s="71"/>
      <c r="E44" s="71"/>
      <c r="F44" s="132" t="s">
        <v>296</v>
      </c>
      <c r="G44" s="71"/>
    </row>
    <row r="45" spans="1:10" s="63" customFormat="1" ht="15">
      <c r="A45" s="71" t="s">
        <v>50</v>
      </c>
      <c r="B45" s="71"/>
      <c r="C45" s="131"/>
      <c r="D45" s="71"/>
      <c r="E45" s="71"/>
      <c r="F45" s="71"/>
      <c r="G45" s="71"/>
      <c r="H45" s="164"/>
      <c r="I45" s="164"/>
      <c r="J45" s="164"/>
    </row>
    <row r="46" spans="1:11" ht="15">
      <c r="A46" s="71"/>
      <c r="B46" s="71"/>
      <c r="C46" s="133" t="s">
        <v>51</v>
      </c>
      <c r="D46" s="71"/>
      <c r="E46" s="134"/>
      <c r="F46" s="134"/>
      <c r="G46" s="134"/>
      <c r="H46" s="63"/>
      <c r="I46" s="63"/>
      <c r="J46" s="63"/>
      <c r="K46" s="63"/>
    </row>
    <row r="47" spans="1:1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1:C41"/>
    <mergeCell ref="F41:G41"/>
    <mergeCell ref="B39:C39"/>
    <mergeCell ref="F39:G39"/>
    <mergeCell ref="B40:C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0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266" t="s">
        <v>246</v>
      </c>
      <c r="G7" s="275"/>
      <c r="H7" s="64"/>
    </row>
    <row r="8" spans="1:8" s="63" customFormat="1" ht="12.75">
      <c r="A8" s="63" t="s">
        <v>3</v>
      </c>
      <c r="F8" s="266" t="s">
        <v>456</v>
      </c>
      <c r="G8" s="275"/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244306.2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'[1]Хрустальная 62'!$G$35</f>
        <v>-111404.72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455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9.969999999999999</v>
      </c>
      <c r="D17" s="80">
        <v>404933.62</v>
      </c>
      <c r="E17" s="80">
        <v>366828.12</v>
      </c>
      <c r="F17" s="80">
        <f aca="true" t="shared" si="0" ref="F17:F24">D17</f>
        <v>404933.62</v>
      </c>
      <c r="G17" s="81">
        <f>E17-D17</f>
        <v>-38105.5</v>
      </c>
      <c r="H17" s="82">
        <f>C17</f>
        <v>9.969999999999999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135654.79346038113</v>
      </c>
      <c r="E18" s="87">
        <f>E17*I18</f>
        <v>122889.25985957874</v>
      </c>
      <c r="F18" s="87">
        <f t="shared" si="0"/>
        <v>135654.79346038113</v>
      </c>
      <c r="G18" s="88">
        <f aca="true" t="shared" si="1" ref="G18:G26">E18-D18</f>
        <v>-12765.533600802388</v>
      </c>
      <c r="H18" s="82">
        <f>C18</f>
        <v>3.34</v>
      </c>
      <c r="I18" s="63">
        <f>H18/H17</f>
        <v>0.3350050150451354</v>
      </c>
    </row>
    <row r="19" spans="1:9" s="63" customFormat="1" ht="15">
      <c r="A19" s="85" t="s">
        <v>18</v>
      </c>
      <c r="B19" s="34" t="s">
        <v>19</v>
      </c>
      <c r="C19" s="89">
        <v>1.63</v>
      </c>
      <c r="D19" s="87">
        <f>D17*I19</f>
        <v>66202.78842527584</v>
      </c>
      <c r="E19" s="87">
        <f>E17*I19</f>
        <v>59972.90226680041</v>
      </c>
      <c r="F19" s="87">
        <f t="shared" si="0"/>
        <v>66202.78842527584</v>
      </c>
      <c r="G19" s="88">
        <f t="shared" si="1"/>
        <v>-6229.886158475427</v>
      </c>
      <c r="H19" s="82">
        <f>C19</f>
        <v>1.63</v>
      </c>
      <c r="I19" s="63">
        <f>H19/H17</f>
        <v>0.16349047141424275</v>
      </c>
    </row>
    <row r="20" spans="1:9" s="63" customFormat="1" ht="15">
      <c r="A20" s="85" t="s">
        <v>20</v>
      </c>
      <c r="B20" s="34" t="s">
        <v>21</v>
      </c>
      <c r="C20" s="89">
        <v>2.07</v>
      </c>
      <c r="D20" s="87">
        <f>D17*I20</f>
        <v>84073.47977933801</v>
      </c>
      <c r="E20" s="87">
        <f>E17*I20</f>
        <v>76161.90655967905</v>
      </c>
      <c r="F20" s="87">
        <f t="shared" si="0"/>
        <v>84073.47977933801</v>
      </c>
      <c r="G20" s="88">
        <f t="shared" si="1"/>
        <v>-7911.573219658967</v>
      </c>
      <c r="H20" s="82">
        <f>C20</f>
        <v>2.07</v>
      </c>
      <c r="I20" s="63">
        <f>H20/H17</f>
        <v>0.20762286860581747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119002.55833500503</v>
      </c>
      <c r="E21" s="87">
        <f>E17*I21</f>
        <v>107804.05131394183</v>
      </c>
      <c r="F21" s="87">
        <f t="shared" si="0"/>
        <v>119002.55833500503</v>
      </c>
      <c r="G21" s="88">
        <f t="shared" si="1"/>
        <v>-11198.507021063197</v>
      </c>
      <c r="H21" s="82">
        <f>C21</f>
        <v>2.93</v>
      </c>
      <c r="I21" s="63">
        <f>H21/H17</f>
        <v>0.29388164493480445</v>
      </c>
    </row>
    <row r="22" spans="1:11" s="93" customFormat="1" ht="14.25">
      <c r="A22" s="90" t="s">
        <v>25</v>
      </c>
      <c r="B22" s="90" t="s">
        <v>26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v>236392.78</v>
      </c>
      <c r="E25" s="91">
        <v>201305.07</v>
      </c>
      <c r="F25" s="91">
        <f>F39</f>
        <v>319125.0507</v>
      </c>
      <c r="G25" s="91">
        <f>E25-D25</f>
        <v>-35087.70999999999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39.6</v>
      </c>
      <c r="D26" s="94">
        <v>0</v>
      </c>
      <c r="E26" s="94">
        <v>0</v>
      </c>
      <c r="F26" s="94">
        <f>D26</f>
        <v>0</v>
      </c>
      <c r="G26" s="94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2208099.92</v>
      </c>
      <c r="E27" s="81">
        <f>SUM(E28:E31)</f>
        <v>1966786.15</v>
      </c>
      <c r="F27" s="81">
        <f>SUM(F28:F31)</f>
        <v>2208099.92</v>
      </c>
      <c r="G27" s="81">
        <f>SUM(G28:G31)</f>
        <v>-241313.76999999984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28729.49</v>
      </c>
      <c r="E28" s="88">
        <v>26135.63</v>
      </c>
      <c r="F28" s="88">
        <f>D28</f>
        <v>28729.49</v>
      </c>
      <c r="G28" s="88">
        <f>E28-D28</f>
        <v>-2593.8600000000006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411519.45</v>
      </c>
      <c r="E29" s="88">
        <v>364227.51</v>
      </c>
      <c r="F29" s="88">
        <f>D29</f>
        <v>411519.45</v>
      </c>
      <c r="G29" s="88">
        <f>E29-D29</f>
        <v>-47291.94</v>
      </c>
    </row>
    <row r="30" spans="1:7" ht="15">
      <c r="A30" s="34" t="s">
        <v>42</v>
      </c>
      <c r="B30" s="34" t="s">
        <v>143</v>
      </c>
      <c r="C30" s="149" t="s">
        <v>382</v>
      </c>
      <c r="D30" s="226">
        <v>684801.82</v>
      </c>
      <c r="E30" s="226">
        <v>588346.88</v>
      </c>
      <c r="F30" s="88">
        <f>D30</f>
        <v>684801.82</v>
      </c>
      <c r="G30" s="88">
        <f>E30-D30</f>
        <v>-96454.93999999994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1083049.16</v>
      </c>
      <c r="E31" s="88">
        <v>988076.13</v>
      </c>
      <c r="F31" s="88">
        <f>D31</f>
        <v>1083049.16</v>
      </c>
      <c r="G31" s="88">
        <f>E31-D31</f>
        <v>-94973.02999999991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558813.1800000002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1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-229224.70070000002</v>
      </c>
      <c r="H35" s="66"/>
      <c r="I35" s="66"/>
      <c r="K35" s="152"/>
    </row>
    <row r="36" spans="1:11" ht="31.5" customHeight="1">
      <c r="A36" s="321" t="s">
        <v>196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SUM(F40:G44)</f>
        <v>319125.0507</v>
      </c>
      <c r="G39" s="351"/>
      <c r="H39" s="270"/>
      <c r="I39" s="271"/>
      <c r="L39" s="120"/>
    </row>
    <row r="40" spans="1:12" ht="15">
      <c r="A40" s="34" t="s">
        <v>16</v>
      </c>
      <c r="B40" s="325" t="s">
        <v>457</v>
      </c>
      <c r="C40" s="327"/>
      <c r="D40" s="123" t="s">
        <v>261</v>
      </c>
      <c r="E40" s="123">
        <v>0.02</v>
      </c>
      <c r="F40" s="366">
        <v>1820</v>
      </c>
      <c r="G40" s="367"/>
      <c r="H40" s="272"/>
      <c r="I40" s="273"/>
      <c r="L40" s="124"/>
    </row>
    <row r="41" spans="1:12" ht="15">
      <c r="A41" s="34" t="s">
        <v>18</v>
      </c>
      <c r="B41" s="325" t="s">
        <v>178</v>
      </c>
      <c r="C41" s="327"/>
      <c r="D41" s="123" t="s">
        <v>352</v>
      </c>
      <c r="E41" s="123">
        <v>2.61</v>
      </c>
      <c r="F41" s="366">
        <v>150422</v>
      </c>
      <c r="G41" s="367"/>
      <c r="H41" s="40"/>
      <c r="I41" s="40"/>
      <c r="L41" s="124"/>
    </row>
    <row r="42" spans="1:12" ht="15">
      <c r="A42" s="34" t="s">
        <v>20</v>
      </c>
      <c r="B42" s="325" t="s">
        <v>178</v>
      </c>
      <c r="C42" s="327"/>
      <c r="D42" s="123" t="s">
        <v>260</v>
      </c>
      <c r="E42" s="123">
        <v>8.7</v>
      </c>
      <c r="F42" s="366">
        <v>155630</v>
      </c>
      <c r="G42" s="367"/>
      <c r="H42" s="40"/>
      <c r="I42" s="40"/>
      <c r="L42" s="124"/>
    </row>
    <row r="43" spans="1:12" ht="15">
      <c r="A43" s="34" t="s">
        <v>22</v>
      </c>
      <c r="B43" s="325" t="s">
        <v>663</v>
      </c>
      <c r="C43" s="350"/>
      <c r="D43" s="123"/>
      <c r="E43" s="159" t="s">
        <v>286</v>
      </c>
      <c r="F43" s="355">
        <v>9240</v>
      </c>
      <c r="G43" s="355"/>
      <c r="H43" s="40"/>
      <c r="I43" s="40"/>
      <c r="L43" s="124"/>
    </row>
    <row r="44" spans="1:11" s="71" customFormat="1" ht="15">
      <c r="A44" s="34" t="s">
        <v>24</v>
      </c>
      <c r="B44" s="364" t="s">
        <v>207</v>
      </c>
      <c r="C44" s="365"/>
      <c r="D44" s="129"/>
      <c r="E44" s="129"/>
      <c r="F44" s="355">
        <f>E25*1%</f>
        <v>2013.0507</v>
      </c>
      <c r="G44" s="355"/>
      <c r="H44" s="63"/>
      <c r="I44" s="63"/>
      <c r="J44" s="63"/>
      <c r="K44" s="63"/>
    </row>
    <row r="45" s="63" customFormat="1" ht="9" customHeight="1"/>
    <row r="46" spans="1:11" s="63" customFormat="1" ht="15">
      <c r="A46" s="71" t="s">
        <v>55</v>
      </c>
      <c r="B46" s="71"/>
      <c r="C46" s="131" t="s">
        <v>49</v>
      </c>
      <c r="D46" s="71"/>
      <c r="E46" s="71"/>
      <c r="F46" s="71" t="s">
        <v>93</v>
      </c>
      <c r="G46" s="71"/>
      <c r="H46" s="71"/>
      <c r="I46" s="71"/>
      <c r="J46" s="71"/>
      <c r="K46" s="71"/>
    </row>
    <row r="47" spans="1:7" s="63" customFormat="1" ht="15">
      <c r="A47" s="71"/>
      <c r="B47" s="71"/>
      <c r="C47" s="131"/>
      <c r="D47" s="71"/>
      <c r="E47" s="71"/>
      <c r="F47" s="132" t="s">
        <v>296</v>
      </c>
      <c r="G47" s="71"/>
    </row>
    <row r="48" spans="1:10" s="63" customFormat="1" ht="15">
      <c r="A48" s="71" t="s">
        <v>50</v>
      </c>
      <c r="B48" s="71"/>
      <c r="C48" s="131"/>
      <c r="D48" s="71"/>
      <c r="E48" s="71"/>
      <c r="F48" s="71"/>
      <c r="G48" s="71"/>
      <c r="H48" s="164"/>
      <c r="I48" s="164"/>
      <c r="J48" s="164"/>
    </row>
    <row r="49" spans="1:11" ht="15">
      <c r="A49" s="71"/>
      <c r="B49" s="71"/>
      <c r="C49" s="133" t="s">
        <v>51</v>
      </c>
      <c r="D49" s="71"/>
      <c r="E49" s="134"/>
      <c r="F49" s="134"/>
      <c r="G49" s="134"/>
      <c r="H49" s="63"/>
      <c r="I49" s="63"/>
      <c r="J49" s="63"/>
      <c r="K49" s="63"/>
    </row>
    <row r="50" spans="1:11" ht="12.7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</row>
  </sheetData>
  <sheetProtection/>
  <mergeCells count="24">
    <mergeCell ref="A11:K11"/>
    <mergeCell ref="A12:C12"/>
    <mergeCell ref="A1:K1"/>
    <mergeCell ref="A2:K2"/>
    <mergeCell ref="A3:K3"/>
    <mergeCell ref="A5:K5"/>
    <mergeCell ref="A9:K9"/>
    <mergeCell ref="A10:K10"/>
    <mergeCell ref="A33:C33"/>
    <mergeCell ref="A36:K36"/>
    <mergeCell ref="B38:C38"/>
    <mergeCell ref="F38:G38"/>
    <mergeCell ref="B42:C42"/>
    <mergeCell ref="F42:G42"/>
    <mergeCell ref="B44:C44"/>
    <mergeCell ref="F44:G44"/>
    <mergeCell ref="B39:C39"/>
    <mergeCell ref="F39:G39"/>
    <mergeCell ref="B40:C40"/>
    <mergeCell ref="F40:G40"/>
    <mergeCell ref="B41:C41"/>
    <mergeCell ref="F41:G41"/>
    <mergeCell ref="B43:C43"/>
    <mergeCell ref="F43:G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4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239</v>
      </c>
      <c r="H7" s="64"/>
    </row>
    <row r="8" spans="1:8" s="63" customFormat="1" ht="12.75">
      <c r="A8" s="63" t="s">
        <v>3</v>
      </c>
      <c r="F8" s="64" t="s">
        <v>459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458</v>
      </c>
      <c r="B12" s="320"/>
      <c r="C12" s="320"/>
      <c r="D12" s="51">
        <v>153636.66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'[1]Хрустальная 66'!$G$35</f>
        <v>-55966.01950000001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455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9.969999999999999</v>
      </c>
      <c r="D17" s="80">
        <v>508689.64</v>
      </c>
      <c r="E17" s="80">
        <v>505418.01</v>
      </c>
      <c r="F17" s="80">
        <f aca="true" t="shared" si="0" ref="F17:F24">D17</f>
        <v>508689.64</v>
      </c>
      <c r="G17" s="81">
        <f>E17-D17</f>
        <v>-3271.6300000000047</v>
      </c>
      <c r="H17" s="82">
        <f>C17</f>
        <v>9.969999999999999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170413.58050150453</v>
      </c>
      <c r="E18" s="87">
        <f>E17*I18</f>
        <v>169317.5680441324</v>
      </c>
      <c r="F18" s="87">
        <f t="shared" si="0"/>
        <v>170413.58050150453</v>
      </c>
      <c r="G18" s="88">
        <f aca="true" t="shared" si="1" ref="G18:G26">E18-D18</f>
        <v>-1096.012457372126</v>
      </c>
      <c r="H18" s="82">
        <f>C18</f>
        <v>3.34</v>
      </c>
      <c r="I18" s="63">
        <f>H18/H17</f>
        <v>0.3350050150451354</v>
      </c>
    </row>
    <row r="19" spans="1:9" s="63" customFormat="1" ht="15">
      <c r="A19" s="85" t="s">
        <v>18</v>
      </c>
      <c r="B19" s="34" t="s">
        <v>19</v>
      </c>
      <c r="C19" s="89">
        <v>1.63</v>
      </c>
      <c r="D19" s="87">
        <f>D17*I19</f>
        <v>83165.90904714144</v>
      </c>
      <c r="E19" s="87">
        <f>E17*I19</f>
        <v>82631.02871614846</v>
      </c>
      <c r="F19" s="87">
        <f t="shared" si="0"/>
        <v>83165.90904714144</v>
      </c>
      <c r="G19" s="88">
        <f t="shared" si="1"/>
        <v>-534.880330992979</v>
      </c>
      <c r="H19" s="82">
        <f>C19</f>
        <v>1.63</v>
      </c>
      <c r="I19" s="63">
        <f>H19/H17</f>
        <v>0.16349047141424275</v>
      </c>
    </row>
    <row r="20" spans="1:9" s="63" customFormat="1" ht="15">
      <c r="A20" s="85" t="s">
        <v>20</v>
      </c>
      <c r="B20" s="34" t="s">
        <v>21</v>
      </c>
      <c r="C20" s="89">
        <v>2.07</v>
      </c>
      <c r="D20" s="87">
        <f>D17*I20</f>
        <v>105615.6022868606</v>
      </c>
      <c r="E20" s="87">
        <f>E17*I20</f>
        <v>104936.33708124374</v>
      </c>
      <c r="F20" s="87">
        <f t="shared" si="0"/>
        <v>105615.6022868606</v>
      </c>
      <c r="G20" s="88">
        <f t="shared" si="1"/>
        <v>-679.265205616859</v>
      </c>
      <c r="H20" s="82">
        <f>C20</f>
        <v>2.07</v>
      </c>
      <c r="I20" s="63">
        <f>H20/H17</f>
        <v>0.20762286860581747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149494.5481644935</v>
      </c>
      <c r="E21" s="87">
        <f>E17*I21</f>
        <v>148533.07615847545</v>
      </c>
      <c r="F21" s="87">
        <f t="shared" si="0"/>
        <v>149494.5481644935</v>
      </c>
      <c r="G21" s="88">
        <f t="shared" si="1"/>
        <v>-961.4720060180407</v>
      </c>
      <c r="H21" s="82">
        <f>C21</f>
        <v>2.93</v>
      </c>
      <c r="I21" s="63">
        <f>H21/H17</f>
        <v>0.29388164493480445</v>
      </c>
    </row>
    <row r="22" spans="1:11" s="93" customFormat="1" ht="14.25">
      <c r="A22" s="90" t="s">
        <v>25</v>
      </c>
      <c r="B22" s="90" t="s">
        <v>26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v>101426.36</v>
      </c>
      <c r="E25" s="91">
        <v>100934.35</v>
      </c>
      <c r="F25" s="91">
        <f>F39</f>
        <v>110243.4935</v>
      </c>
      <c r="G25" s="91">
        <f>E25-D25</f>
        <v>-492.00999999999476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0</v>
      </c>
      <c r="D26" s="81">
        <v>0</v>
      </c>
      <c r="E26" s="81">
        <v>0</v>
      </c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1941294.68</v>
      </c>
      <c r="E27" s="81">
        <f>SUM(E28:E31)</f>
        <v>1845739.67</v>
      </c>
      <c r="F27" s="81">
        <f>SUM(F28:F31)</f>
        <v>1941294.68</v>
      </c>
      <c r="G27" s="81">
        <f>SUM(G28:G31)</f>
        <v>-95555.01000000001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13635.17</v>
      </c>
      <c r="E28" s="88">
        <v>12441.97</v>
      </c>
      <c r="F28" s="88">
        <f>D28</f>
        <v>13635.17</v>
      </c>
      <c r="G28" s="88">
        <f>E28-D28</f>
        <v>-1193.2000000000007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400671.52</v>
      </c>
      <c r="E29" s="88">
        <v>375519.41</v>
      </c>
      <c r="F29" s="88">
        <f>D29</f>
        <v>400671.52</v>
      </c>
      <c r="G29" s="88">
        <f>E29-D29</f>
        <v>-25152.110000000044</v>
      </c>
    </row>
    <row r="30" spans="1:7" ht="24.75" customHeight="1">
      <c r="A30" s="34" t="s">
        <v>42</v>
      </c>
      <c r="B30" s="34" t="s">
        <v>143</v>
      </c>
      <c r="C30" s="149" t="s">
        <v>382</v>
      </c>
      <c r="D30" s="226">
        <v>28537.8</v>
      </c>
      <c r="E30" s="226">
        <v>26045.32</v>
      </c>
      <c r="F30" s="88">
        <f>D30</f>
        <v>28537.8</v>
      </c>
      <c r="G30" s="88">
        <f>E30-D30</f>
        <v>-2492.4799999999996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1498450.19</v>
      </c>
      <c r="E31" s="88">
        <v>1431732.97</v>
      </c>
      <c r="F31" s="88">
        <f>D31</f>
        <v>1498450.19</v>
      </c>
      <c r="G31" s="88">
        <f>E31-D31</f>
        <v>-66717.21999999997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252955.31000000006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1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-65275.163</v>
      </c>
      <c r="H35" s="66"/>
      <c r="I35" s="66"/>
      <c r="K35" s="152"/>
    </row>
    <row r="36" spans="1:11" ht="31.5" customHeight="1">
      <c r="A36" s="321" t="s">
        <v>196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SUM(F40:G48)</f>
        <v>110243.4935</v>
      </c>
      <c r="G39" s="351"/>
      <c r="H39" s="270"/>
      <c r="I39" s="271"/>
      <c r="L39" s="120"/>
    </row>
    <row r="40" spans="1:12" ht="15">
      <c r="A40" s="34" t="s">
        <v>16</v>
      </c>
      <c r="B40" s="325" t="s">
        <v>280</v>
      </c>
      <c r="C40" s="327"/>
      <c r="D40" s="123"/>
      <c r="E40" s="123"/>
      <c r="F40" s="366">
        <v>1162.29</v>
      </c>
      <c r="G40" s="367"/>
      <c r="H40" s="40"/>
      <c r="I40" s="40"/>
      <c r="L40" s="124"/>
    </row>
    <row r="41" spans="1:12" ht="15">
      <c r="A41" s="34" t="s">
        <v>18</v>
      </c>
      <c r="B41" s="325" t="s">
        <v>460</v>
      </c>
      <c r="C41" s="327"/>
      <c r="D41" s="123" t="s">
        <v>265</v>
      </c>
      <c r="E41" s="126">
        <v>0.015</v>
      </c>
      <c r="F41" s="366">
        <v>2173</v>
      </c>
      <c r="G41" s="367"/>
      <c r="H41" s="40"/>
      <c r="I41" s="40"/>
      <c r="L41" s="124"/>
    </row>
    <row r="42" spans="1:12" ht="15">
      <c r="A42" s="34" t="s">
        <v>20</v>
      </c>
      <c r="B42" s="325" t="s">
        <v>169</v>
      </c>
      <c r="C42" s="327"/>
      <c r="D42" s="123" t="s">
        <v>177</v>
      </c>
      <c r="E42" s="123">
        <v>1030</v>
      </c>
      <c r="F42" s="366">
        <v>10567.8</v>
      </c>
      <c r="G42" s="367"/>
      <c r="H42" s="40"/>
      <c r="I42" s="40"/>
      <c r="L42" s="124"/>
    </row>
    <row r="43" spans="1:12" ht="15">
      <c r="A43" s="34" t="s">
        <v>22</v>
      </c>
      <c r="B43" s="325" t="s">
        <v>461</v>
      </c>
      <c r="C43" s="327"/>
      <c r="D43" s="123" t="s">
        <v>173</v>
      </c>
      <c r="E43" s="123">
        <v>6</v>
      </c>
      <c r="F43" s="366">
        <v>72000</v>
      </c>
      <c r="G43" s="367"/>
      <c r="H43" s="40"/>
      <c r="I43" s="40"/>
      <c r="L43" s="124"/>
    </row>
    <row r="44" spans="1:12" ht="15">
      <c r="A44" s="34" t="s">
        <v>24</v>
      </c>
      <c r="B44" s="325" t="s">
        <v>634</v>
      </c>
      <c r="C44" s="327"/>
      <c r="D44" s="123" t="s">
        <v>265</v>
      </c>
      <c r="E44" s="123">
        <v>0.01</v>
      </c>
      <c r="F44" s="366">
        <v>644.44</v>
      </c>
      <c r="G44" s="367"/>
      <c r="H44" s="40"/>
      <c r="I44" s="40"/>
      <c r="L44" s="124"/>
    </row>
    <row r="45" spans="1:12" ht="15">
      <c r="A45" s="34" t="s">
        <v>106</v>
      </c>
      <c r="B45" s="325" t="s">
        <v>625</v>
      </c>
      <c r="C45" s="327"/>
      <c r="D45" s="123" t="s">
        <v>265</v>
      </c>
      <c r="E45" s="123">
        <v>0.01</v>
      </c>
      <c r="F45" s="366">
        <v>964.62</v>
      </c>
      <c r="G45" s="367"/>
      <c r="H45" s="40"/>
      <c r="I45" s="40"/>
      <c r="L45" s="124"/>
    </row>
    <row r="46" spans="1:12" ht="15">
      <c r="A46" s="34" t="s">
        <v>107</v>
      </c>
      <c r="B46" s="325" t="s">
        <v>663</v>
      </c>
      <c r="C46" s="350"/>
      <c r="D46" s="123"/>
      <c r="E46" s="159" t="s">
        <v>286</v>
      </c>
      <c r="F46" s="355">
        <v>13860</v>
      </c>
      <c r="G46" s="355"/>
      <c r="H46" s="40"/>
      <c r="I46" s="40"/>
      <c r="L46" s="124"/>
    </row>
    <row r="47" spans="1:12" ht="15">
      <c r="A47" s="34" t="s">
        <v>120</v>
      </c>
      <c r="B47" s="325" t="s">
        <v>711</v>
      </c>
      <c r="C47" s="350"/>
      <c r="D47" s="123"/>
      <c r="E47" s="159"/>
      <c r="F47" s="355">
        <v>7862</v>
      </c>
      <c r="G47" s="355"/>
      <c r="H47" s="40"/>
      <c r="I47" s="40"/>
      <c r="L47" s="124"/>
    </row>
    <row r="48" spans="1:11" s="71" customFormat="1" ht="15">
      <c r="A48" s="34" t="s">
        <v>121</v>
      </c>
      <c r="B48" s="364" t="s">
        <v>207</v>
      </c>
      <c r="C48" s="365"/>
      <c r="D48" s="129"/>
      <c r="E48" s="129"/>
      <c r="F48" s="355">
        <f>E25*1%</f>
        <v>1009.3435000000001</v>
      </c>
      <c r="G48" s="355"/>
      <c r="H48" s="63"/>
      <c r="I48" s="63"/>
      <c r="J48" s="63"/>
      <c r="K48" s="63"/>
    </row>
    <row r="49" s="63" customFormat="1" ht="9" customHeight="1"/>
    <row r="50" spans="1:11" s="63" customFormat="1" ht="15">
      <c r="A50" s="71" t="s">
        <v>55</v>
      </c>
      <c r="B50" s="71"/>
      <c r="C50" s="131" t="s">
        <v>49</v>
      </c>
      <c r="D50" s="71"/>
      <c r="E50" s="71"/>
      <c r="F50" s="71" t="s">
        <v>93</v>
      </c>
      <c r="G50" s="71"/>
      <c r="H50" s="71"/>
      <c r="I50" s="71"/>
      <c r="J50" s="71"/>
      <c r="K50" s="71"/>
    </row>
    <row r="51" spans="1:7" s="63" customFormat="1" ht="15">
      <c r="A51" s="71"/>
      <c r="B51" s="71"/>
      <c r="C51" s="131"/>
      <c r="D51" s="71"/>
      <c r="E51" s="71"/>
      <c r="F51" s="132" t="s">
        <v>296</v>
      </c>
      <c r="G51" s="71"/>
    </row>
    <row r="52" spans="1:10" s="63" customFormat="1" ht="15">
      <c r="A52" s="71" t="s">
        <v>50</v>
      </c>
      <c r="B52" s="71"/>
      <c r="C52" s="131"/>
      <c r="D52" s="71"/>
      <c r="E52" s="71"/>
      <c r="F52" s="71"/>
      <c r="G52" s="71"/>
      <c r="H52" s="164"/>
      <c r="I52" s="164"/>
      <c r="J52" s="164"/>
    </row>
    <row r="53" spans="1:11" ht="15">
      <c r="A53" s="71"/>
      <c r="B53" s="71"/>
      <c r="C53" s="133" t="s">
        <v>51</v>
      </c>
      <c r="D53" s="71"/>
      <c r="E53" s="134"/>
      <c r="F53" s="134"/>
      <c r="G53" s="134"/>
      <c r="H53" s="63"/>
      <c r="I53" s="63"/>
      <c r="J53" s="63"/>
      <c r="K53" s="63"/>
    </row>
    <row r="54" spans="1:11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32">
    <mergeCell ref="B46:C46"/>
    <mergeCell ref="F46:G46"/>
    <mergeCell ref="B45:C45"/>
    <mergeCell ref="F45:G45"/>
    <mergeCell ref="B42:C42"/>
    <mergeCell ref="F42:G42"/>
    <mergeCell ref="B43:C43"/>
    <mergeCell ref="F43:G43"/>
    <mergeCell ref="B44:C44"/>
    <mergeCell ref="F44:G44"/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1:C41"/>
    <mergeCell ref="F41:G41"/>
    <mergeCell ref="B48:C48"/>
    <mergeCell ref="F48:G48"/>
    <mergeCell ref="B39:C39"/>
    <mergeCell ref="F39:G39"/>
    <mergeCell ref="B40:C40"/>
    <mergeCell ref="F40:G40"/>
    <mergeCell ref="B47:C47"/>
    <mergeCell ref="F47:G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242</v>
      </c>
      <c r="H7" s="64"/>
    </row>
    <row r="8" spans="1:8" s="63" customFormat="1" ht="12.75">
      <c r="A8" s="63" t="s">
        <v>3</v>
      </c>
      <c r="F8" s="64" t="s">
        <v>243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458</v>
      </c>
      <c r="B12" s="320"/>
      <c r="C12" s="320"/>
      <c r="D12" s="51">
        <v>112954.29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'[1]Хрустальная 70'!$G$35</f>
        <v>44209.787000000004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455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9.969999999999999</v>
      </c>
      <c r="D17" s="80">
        <v>369054.95</v>
      </c>
      <c r="E17" s="80">
        <v>374009.36</v>
      </c>
      <c r="F17" s="80">
        <f aca="true" t="shared" si="0" ref="F17:F24">D17</f>
        <v>369054.95</v>
      </c>
      <c r="G17" s="81">
        <f>E17-D17</f>
        <v>4954.409999999974</v>
      </c>
      <c r="H17" s="82">
        <f>C17</f>
        <v>9.969999999999999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123635.2590772317</v>
      </c>
      <c r="E18" s="87">
        <f>E17*I18</f>
        <v>125295.01127382147</v>
      </c>
      <c r="F18" s="87">
        <f t="shared" si="0"/>
        <v>123635.2590772317</v>
      </c>
      <c r="G18" s="88">
        <f aca="true" t="shared" si="1" ref="G18:G26">E18-D18</f>
        <v>1659.7521965897613</v>
      </c>
      <c r="H18" s="82">
        <f>C18</f>
        <v>3.34</v>
      </c>
      <c r="I18" s="63">
        <f>H18/H17</f>
        <v>0.3350050150451354</v>
      </c>
    </row>
    <row r="19" spans="1:9" s="63" customFormat="1" ht="15">
      <c r="A19" s="85" t="s">
        <v>18</v>
      </c>
      <c r="B19" s="34" t="s">
        <v>19</v>
      </c>
      <c r="C19" s="89">
        <v>1.63</v>
      </c>
      <c r="D19" s="87">
        <f>D17*I19</f>
        <v>60336.96775325979</v>
      </c>
      <c r="E19" s="87">
        <f>E17*I19</f>
        <v>61146.96657973922</v>
      </c>
      <c r="F19" s="87">
        <f t="shared" si="0"/>
        <v>60336.96775325979</v>
      </c>
      <c r="G19" s="88">
        <f t="shared" si="1"/>
        <v>809.9988264794301</v>
      </c>
      <c r="H19" s="82">
        <f>C19</f>
        <v>1.63</v>
      </c>
      <c r="I19" s="63">
        <f>H19/H17</f>
        <v>0.16349047141424275</v>
      </c>
    </row>
    <row r="20" spans="1:9" s="63" customFormat="1" ht="15">
      <c r="A20" s="85" t="s">
        <v>20</v>
      </c>
      <c r="B20" s="34" t="s">
        <v>21</v>
      </c>
      <c r="C20" s="89">
        <v>2.07</v>
      </c>
      <c r="D20" s="87">
        <f>D17*I20</f>
        <v>76624.24739217653</v>
      </c>
      <c r="E20" s="87">
        <f>E17*I20</f>
        <v>77652.89620862588</v>
      </c>
      <c r="F20" s="87">
        <f t="shared" si="0"/>
        <v>76624.24739217653</v>
      </c>
      <c r="G20" s="88">
        <f t="shared" si="1"/>
        <v>1028.6488164493494</v>
      </c>
      <c r="H20" s="82">
        <f>C20</f>
        <v>2.07</v>
      </c>
      <c r="I20" s="63">
        <f>H20/H17</f>
        <v>0.20762286860581747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108458.47577733202</v>
      </c>
      <c r="E21" s="87">
        <f>E17*I21</f>
        <v>109914.48593781346</v>
      </c>
      <c r="F21" s="87">
        <f t="shared" si="0"/>
        <v>108458.47577733202</v>
      </c>
      <c r="G21" s="88">
        <f t="shared" si="1"/>
        <v>1456.0101604814408</v>
      </c>
      <c r="H21" s="82">
        <f>C21</f>
        <v>2.93</v>
      </c>
      <c r="I21" s="63">
        <f>H21/H17</f>
        <v>0.29388164493480445</v>
      </c>
    </row>
    <row r="22" spans="1:11" s="93" customFormat="1" ht="14.25">
      <c r="A22" s="90" t="s">
        <v>25</v>
      </c>
      <c r="B22" s="90" t="s">
        <v>26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v>73584.15</v>
      </c>
      <c r="E25" s="91">
        <v>72736.28</v>
      </c>
      <c r="F25" s="91">
        <f>F39</f>
        <v>58026.6828</v>
      </c>
      <c r="G25" s="91">
        <f>E25-D25</f>
        <v>-847.8699999999953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0</v>
      </c>
      <c r="D26" s="81">
        <v>0</v>
      </c>
      <c r="E26" s="81">
        <v>0</v>
      </c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1765694.04</v>
      </c>
      <c r="E27" s="81">
        <f>SUM(E28:E31)</f>
        <v>1778804.99</v>
      </c>
      <c r="F27" s="81">
        <f>SUM(F28:F31)</f>
        <v>1765694.04</v>
      </c>
      <c r="G27" s="81">
        <f>SUM(G28:G31)</f>
        <v>13110.949999999917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45383.87</v>
      </c>
      <c r="E28" s="88">
        <v>44628.34</v>
      </c>
      <c r="F28" s="88">
        <f>D28</f>
        <v>45383.87</v>
      </c>
      <c r="G28" s="88">
        <f>E28-D28</f>
        <v>-755.5300000000061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240375.26</v>
      </c>
      <c r="E29" s="88">
        <v>258822.55</v>
      </c>
      <c r="F29" s="88">
        <f>D29</f>
        <v>240375.26</v>
      </c>
      <c r="G29" s="88">
        <f>E29-D29</f>
        <v>18447.28999999998</v>
      </c>
    </row>
    <row r="30" spans="1:7" ht="15">
      <c r="A30" s="34" t="s">
        <v>42</v>
      </c>
      <c r="B30" s="34" t="s">
        <v>143</v>
      </c>
      <c r="C30" s="149" t="s">
        <v>382</v>
      </c>
      <c r="D30" s="226">
        <v>432867.51</v>
      </c>
      <c r="E30" s="226">
        <v>441734.27</v>
      </c>
      <c r="F30" s="88">
        <f>D30</f>
        <v>432867.51</v>
      </c>
      <c r="G30" s="88">
        <f>E30-D30</f>
        <v>8866.76000000001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1047067.4</v>
      </c>
      <c r="E31" s="88">
        <v>1033619.83</v>
      </c>
      <c r="F31" s="88">
        <f>D31</f>
        <v>1047067.4</v>
      </c>
      <c r="G31" s="88">
        <f>E31-D31</f>
        <v>-13447.570000000065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95736.80000000028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1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58919.38420000001</v>
      </c>
      <c r="H35" s="66"/>
      <c r="I35" s="66"/>
      <c r="K35" s="152"/>
    </row>
    <row r="36" spans="1:11" ht="31.5" customHeight="1">
      <c r="A36" s="321" t="s">
        <v>196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SUM(F40:G46)</f>
        <v>58026.6828</v>
      </c>
      <c r="G39" s="351"/>
      <c r="H39" s="270"/>
      <c r="I39" s="271"/>
      <c r="L39" s="120"/>
    </row>
    <row r="40" spans="1:12" ht="15">
      <c r="A40" s="34" t="s">
        <v>16</v>
      </c>
      <c r="B40" s="325" t="s">
        <v>462</v>
      </c>
      <c r="C40" s="327"/>
      <c r="D40" s="123" t="s">
        <v>330</v>
      </c>
      <c r="E40" s="126">
        <v>0.004</v>
      </c>
      <c r="F40" s="366">
        <v>6438.41</v>
      </c>
      <c r="G40" s="367"/>
      <c r="H40" s="272"/>
      <c r="I40" s="273"/>
      <c r="L40" s="124"/>
    </row>
    <row r="41" spans="1:12" ht="15">
      <c r="A41" s="34" t="s">
        <v>18</v>
      </c>
      <c r="B41" s="325" t="s">
        <v>366</v>
      </c>
      <c r="C41" s="327"/>
      <c r="D41" s="123" t="s">
        <v>330</v>
      </c>
      <c r="E41" s="123">
        <v>0.08</v>
      </c>
      <c r="F41" s="366">
        <v>2599</v>
      </c>
      <c r="G41" s="367"/>
      <c r="H41" s="40"/>
      <c r="I41" s="40"/>
      <c r="L41" s="124"/>
    </row>
    <row r="42" spans="1:12" ht="15">
      <c r="A42" s="34" t="s">
        <v>20</v>
      </c>
      <c r="B42" s="325" t="s">
        <v>462</v>
      </c>
      <c r="C42" s="327"/>
      <c r="D42" s="123" t="s">
        <v>330</v>
      </c>
      <c r="E42" s="126">
        <v>0.004</v>
      </c>
      <c r="F42" s="366">
        <v>4529</v>
      </c>
      <c r="G42" s="367"/>
      <c r="H42" s="40"/>
      <c r="I42" s="40"/>
      <c r="L42" s="124"/>
    </row>
    <row r="43" spans="1:12" ht="15">
      <c r="A43" s="34" t="s">
        <v>22</v>
      </c>
      <c r="B43" s="325" t="s">
        <v>181</v>
      </c>
      <c r="C43" s="327"/>
      <c r="D43" s="123" t="s">
        <v>352</v>
      </c>
      <c r="E43" s="123">
        <v>0.05</v>
      </c>
      <c r="F43" s="366">
        <v>3432.91</v>
      </c>
      <c r="G43" s="367"/>
      <c r="H43" s="40"/>
      <c r="I43" s="40"/>
      <c r="L43" s="124"/>
    </row>
    <row r="44" spans="1:12" ht="15">
      <c r="A44" s="34" t="s">
        <v>24</v>
      </c>
      <c r="B44" s="325" t="s">
        <v>663</v>
      </c>
      <c r="C44" s="350"/>
      <c r="D44" s="123"/>
      <c r="E44" s="159" t="s">
        <v>286</v>
      </c>
      <c r="F44" s="355">
        <v>9100</v>
      </c>
      <c r="G44" s="355"/>
      <c r="H44" s="40"/>
      <c r="I44" s="40"/>
      <c r="L44" s="124"/>
    </row>
    <row r="45" spans="1:12" ht="15">
      <c r="A45" s="34" t="s">
        <v>106</v>
      </c>
      <c r="B45" s="325" t="s">
        <v>712</v>
      </c>
      <c r="C45" s="350"/>
      <c r="D45" s="123" t="s">
        <v>177</v>
      </c>
      <c r="E45" s="159">
        <v>50</v>
      </c>
      <c r="F45" s="355">
        <v>31200</v>
      </c>
      <c r="G45" s="355"/>
      <c r="H45" s="40"/>
      <c r="I45" s="40"/>
      <c r="L45" s="124"/>
    </row>
    <row r="46" spans="1:11" s="71" customFormat="1" ht="15">
      <c r="A46" s="34" t="s">
        <v>107</v>
      </c>
      <c r="B46" s="364" t="s">
        <v>207</v>
      </c>
      <c r="C46" s="365"/>
      <c r="D46" s="129"/>
      <c r="E46" s="129"/>
      <c r="F46" s="355">
        <f>E25*1%</f>
        <v>727.3628</v>
      </c>
      <c r="G46" s="355"/>
      <c r="H46" s="63"/>
      <c r="I46" s="63"/>
      <c r="J46" s="63"/>
      <c r="K46" s="63"/>
    </row>
    <row r="47" s="63" customFormat="1" ht="9" customHeight="1"/>
    <row r="48" spans="1:11" s="63" customFormat="1" ht="15">
      <c r="A48" s="71" t="s">
        <v>55</v>
      </c>
      <c r="B48" s="71"/>
      <c r="C48" s="131" t="s">
        <v>49</v>
      </c>
      <c r="D48" s="71"/>
      <c r="E48" s="71"/>
      <c r="F48" s="71" t="s">
        <v>93</v>
      </c>
      <c r="G48" s="71"/>
      <c r="H48" s="71"/>
      <c r="I48" s="71"/>
      <c r="J48" s="71"/>
      <c r="K48" s="71"/>
    </row>
    <row r="49" spans="1:7" s="63" customFormat="1" ht="15">
      <c r="A49" s="71"/>
      <c r="B49" s="71"/>
      <c r="C49" s="131"/>
      <c r="D49" s="71"/>
      <c r="E49" s="71"/>
      <c r="F49" s="132" t="s">
        <v>296</v>
      </c>
      <c r="G49" s="71"/>
    </row>
    <row r="50" spans="1:10" s="63" customFormat="1" ht="15">
      <c r="A50" s="71" t="s">
        <v>50</v>
      </c>
      <c r="B50" s="71"/>
      <c r="C50" s="131"/>
      <c r="D50" s="71"/>
      <c r="E50" s="71"/>
      <c r="F50" s="71"/>
      <c r="G50" s="71"/>
      <c r="H50" s="164"/>
      <c r="I50" s="164"/>
      <c r="J50" s="164"/>
    </row>
    <row r="51" spans="1:11" ht="15">
      <c r="A51" s="71"/>
      <c r="B51" s="71"/>
      <c r="C51" s="133" t="s">
        <v>51</v>
      </c>
      <c r="D51" s="71"/>
      <c r="E51" s="134"/>
      <c r="F51" s="134"/>
      <c r="G51" s="134"/>
      <c r="H51" s="63"/>
      <c r="I51" s="63"/>
      <c r="J51" s="63"/>
      <c r="K51" s="63"/>
    </row>
    <row r="52" spans="1:11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</sheetData>
  <sheetProtection/>
  <mergeCells count="28">
    <mergeCell ref="A11:K11"/>
    <mergeCell ref="A12:C12"/>
    <mergeCell ref="A33:C33"/>
    <mergeCell ref="A36:K36"/>
    <mergeCell ref="B38:C38"/>
    <mergeCell ref="F38:G38"/>
    <mergeCell ref="A1:K1"/>
    <mergeCell ref="A2:K2"/>
    <mergeCell ref="A3:K3"/>
    <mergeCell ref="A5:K5"/>
    <mergeCell ref="A9:K9"/>
    <mergeCell ref="A10:K10"/>
    <mergeCell ref="B39:C39"/>
    <mergeCell ref="F39:G39"/>
    <mergeCell ref="B40:C40"/>
    <mergeCell ref="F40:G40"/>
    <mergeCell ref="B41:C41"/>
    <mergeCell ref="F41:G41"/>
    <mergeCell ref="B43:C43"/>
    <mergeCell ref="F43:G43"/>
    <mergeCell ref="B42:C42"/>
    <mergeCell ref="F42:G42"/>
    <mergeCell ref="B46:C46"/>
    <mergeCell ref="F46:G46"/>
    <mergeCell ref="B45:C45"/>
    <mergeCell ref="F45:G45"/>
    <mergeCell ref="B44:C44"/>
    <mergeCell ref="F44:G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7030A0"/>
  </sheetPr>
  <dimension ref="A1:N54"/>
  <sheetViews>
    <sheetView zoomScalePageLayoutView="0" workbookViewId="0" topLeftCell="A14">
      <selection activeCell="G36" sqref="G36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201</v>
      </c>
      <c r="H7" s="64"/>
    </row>
    <row r="8" spans="1:8" s="63" customFormat="1" ht="12.75">
      <c r="A8" s="63" t="s">
        <v>3</v>
      </c>
      <c r="F8" s="64" t="s">
        <v>463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431"/>
      <c r="C12" s="431"/>
      <c r="D12" s="286">
        <v>93257.88</v>
      </c>
      <c r="E12" s="70"/>
      <c r="F12" s="70"/>
      <c r="G12" s="70"/>
      <c r="H12" s="66"/>
      <c r="I12" s="66"/>
    </row>
    <row r="13" spans="1:9" s="71" customFormat="1" ht="15.75" customHeight="1" thickBot="1">
      <c r="A13" s="67" t="s">
        <v>570</v>
      </c>
      <c r="B13" s="67"/>
      <c r="C13" s="68"/>
      <c r="D13" s="73"/>
      <c r="E13" s="74"/>
      <c r="F13" s="74"/>
      <c r="G13" s="285">
        <f>'[1]Хрустальная 74'!$G$36</f>
        <v>-191903.57</v>
      </c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'[1]Хрустальная 74'!$G$35</f>
        <v>-103904.92999999996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455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9.969999999999999</v>
      </c>
      <c r="D17" s="80">
        <v>560068.06</v>
      </c>
      <c r="E17" s="80">
        <v>539175.96</v>
      </c>
      <c r="F17" s="80">
        <f aca="true" t="shared" si="0" ref="F17:F24">D17</f>
        <v>560068.06</v>
      </c>
      <c r="G17" s="81">
        <f>E17-D17</f>
        <v>-20892.100000000093</v>
      </c>
      <c r="H17" s="82">
        <f>C17</f>
        <v>9.969999999999999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187625.60886659982</v>
      </c>
      <c r="E18" s="87">
        <f>E17*I18</f>
        <v>180626.6505917753</v>
      </c>
      <c r="F18" s="87">
        <f t="shared" si="0"/>
        <v>187625.60886659982</v>
      </c>
      <c r="G18" s="88">
        <f aca="true" t="shared" si="1" ref="G18:G26">E18-D18</f>
        <v>-6998.958274824516</v>
      </c>
      <c r="H18" s="82">
        <f>C18</f>
        <v>3.34</v>
      </c>
      <c r="I18" s="63">
        <f>H18/H17</f>
        <v>0.3350050150451354</v>
      </c>
    </row>
    <row r="19" spans="1:9" s="63" customFormat="1" ht="15">
      <c r="A19" s="85" t="s">
        <v>18</v>
      </c>
      <c r="B19" s="34" t="s">
        <v>19</v>
      </c>
      <c r="C19" s="89">
        <v>1.63</v>
      </c>
      <c r="D19" s="87">
        <f>D17*I19</f>
        <v>91565.7911534604</v>
      </c>
      <c r="E19" s="87">
        <f>E17*I19</f>
        <v>88150.13187562689</v>
      </c>
      <c r="F19" s="87">
        <f t="shared" si="0"/>
        <v>91565.7911534604</v>
      </c>
      <c r="G19" s="88">
        <f t="shared" si="1"/>
        <v>-3415.659277833518</v>
      </c>
      <c r="H19" s="82">
        <f>C19</f>
        <v>1.63</v>
      </c>
      <c r="I19" s="63">
        <f>H19/H17</f>
        <v>0.16349047141424275</v>
      </c>
    </row>
    <row r="20" spans="1:9" s="63" customFormat="1" ht="15">
      <c r="A20" s="85" t="s">
        <v>20</v>
      </c>
      <c r="B20" s="34" t="s">
        <v>21</v>
      </c>
      <c r="C20" s="89">
        <v>2.07</v>
      </c>
      <c r="D20" s="87">
        <f>D17*I20</f>
        <v>116282.9372316951</v>
      </c>
      <c r="E20" s="87">
        <f>E17*I20</f>
        <v>111945.25949849549</v>
      </c>
      <c r="F20" s="87">
        <f t="shared" si="0"/>
        <v>116282.9372316951</v>
      </c>
      <c r="G20" s="88">
        <f t="shared" si="1"/>
        <v>-4337.677733199613</v>
      </c>
      <c r="H20" s="82">
        <f>C20</f>
        <v>2.07</v>
      </c>
      <c r="I20" s="63">
        <f>H20/H17</f>
        <v>0.20762286860581747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164593.72274824476</v>
      </c>
      <c r="E21" s="87">
        <f>E17*I21</f>
        <v>158453.91803410233</v>
      </c>
      <c r="F21" s="87">
        <f t="shared" si="0"/>
        <v>164593.72274824476</v>
      </c>
      <c r="G21" s="88">
        <f t="shared" si="1"/>
        <v>-6139.804714142432</v>
      </c>
      <c r="H21" s="82">
        <f>C21</f>
        <v>2.93</v>
      </c>
      <c r="I21" s="63">
        <f>H21/H17</f>
        <v>0.29388164493480445</v>
      </c>
    </row>
    <row r="22" spans="1:11" s="93" customFormat="1" ht="14.25">
      <c r="A22" s="90" t="s">
        <v>25</v>
      </c>
      <c r="B22" s="90" t="s">
        <v>786</v>
      </c>
      <c r="C22" s="46">
        <v>4.15</v>
      </c>
      <c r="D22" s="91">
        <v>189557.2</v>
      </c>
      <c r="E22" s="91">
        <v>186924.01</v>
      </c>
      <c r="F22" s="91">
        <v>0</v>
      </c>
      <c r="G22" s="91">
        <f t="shared" si="1"/>
        <v>-2633.1900000000023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28</v>
      </c>
      <c r="C23" s="46">
        <v>0</v>
      </c>
      <c r="D23" s="91">
        <v>0</v>
      </c>
      <c r="E23" s="91"/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v>109074.72</v>
      </c>
      <c r="E25" s="91">
        <v>107548.5</v>
      </c>
      <c r="F25" s="91">
        <f>F40</f>
        <v>125727.795</v>
      </c>
      <c r="G25" s="91">
        <f>E25-D25</f>
        <v>-1526.2200000000012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 t="s">
        <v>464</v>
      </c>
      <c r="D26" s="94">
        <v>0</v>
      </c>
      <c r="E26" s="94">
        <v>0</v>
      </c>
      <c r="F26" s="94">
        <f>D26</f>
        <v>0</v>
      </c>
      <c r="G26" s="94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2354420</v>
      </c>
      <c r="E27" s="81">
        <f>SUM(E28:E31)</f>
        <v>2351044.1</v>
      </c>
      <c r="F27" s="81">
        <f>SUM(F28:F31)</f>
        <v>2354420</v>
      </c>
      <c r="G27" s="81">
        <f>SUM(G28:G31)</f>
        <v>-3375.899999999863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37267.14</v>
      </c>
      <c r="E28" s="88">
        <v>36780.78</v>
      </c>
      <c r="F28" s="88">
        <f>D28</f>
        <v>37267.14</v>
      </c>
      <c r="G28" s="88">
        <f>E28-D28</f>
        <v>-486.3600000000006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387492.26</v>
      </c>
      <c r="E29" s="88">
        <v>400955.45</v>
      </c>
      <c r="F29" s="88">
        <f>D29</f>
        <v>387492.26</v>
      </c>
      <c r="G29" s="88">
        <f>E29-D29</f>
        <v>13463.190000000002</v>
      </c>
    </row>
    <row r="30" spans="1:7" ht="15">
      <c r="A30" s="34" t="s">
        <v>42</v>
      </c>
      <c r="B30" s="34" t="s">
        <v>143</v>
      </c>
      <c r="C30" s="149" t="s">
        <v>382</v>
      </c>
      <c r="D30" s="88">
        <v>727900.2</v>
      </c>
      <c r="E30" s="88">
        <v>722968.35</v>
      </c>
      <c r="F30" s="88">
        <f>D30</f>
        <v>727900.2</v>
      </c>
      <c r="G30" s="88">
        <f>E30-D30</f>
        <v>-4931.849999999977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1201760.4</v>
      </c>
      <c r="E31" s="88">
        <v>1190339.52</v>
      </c>
      <c r="F31" s="88">
        <f>D31</f>
        <v>1201760.4</v>
      </c>
      <c r="G31" s="88">
        <f>E31-D31</f>
        <v>-11420.879999999888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121685.2900000005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-122084.22499999996</v>
      </c>
      <c r="H35" s="66"/>
      <c r="I35" s="66"/>
    </row>
    <row r="36" spans="1:11" s="106" customFormat="1" ht="14.25" thickBot="1">
      <c r="A36" s="67" t="s">
        <v>571</v>
      </c>
      <c r="B36" s="68"/>
      <c r="C36" s="68"/>
      <c r="D36" s="73"/>
      <c r="E36" s="74"/>
      <c r="F36" s="74"/>
      <c r="G36" s="151">
        <f>G13+E22-F22</f>
        <v>-4979.559999999998</v>
      </c>
      <c r="H36" s="105"/>
      <c r="I36" s="105"/>
      <c r="J36" s="105"/>
      <c r="K36" s="105"/>
    </row>
    <row r="37" spans="1:11" ht="31.5" customHeight="1">
      <c r="A37" s="321" t="s">
        <v>196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</row>
    <row r="39" spans="1:12" s="78" customFormat="1" ht="37.5" customHeight="1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L39" s="112"/>
    </row>
    <row r="40" spans="1:12" s="119" customFormat="1" ht="15" customHeight="1">
      <c r="A40" s="113" t="s">
        <v>47</v>
      </c>
      <c r="B40" s="342" t="s">
        <v>114</v>
      </c>
      <c r="C40" s="345"/>
      <c r="D40" s="115"/>
      <c r="E40" s="115"/>
      <c r="F40" s="356">
        <f>SUM(F41:G48)</f>
        <v>125727.795</v>
      </c>
      <c r="G40" s="351"/>
      <c r="H40" s="270"/>
      <c r="I40" s="271"/>
      <c r="L40" s="120"/>
    </row>
    <row r="41" spans="1:12" ht="15">
      <c r="A41" s="34" t="s">
        <v>16</v>
      </c>
      <c r="B41" s="325" t="s">
        <v>465</v>
      </c>
      <c r="C41" s="327"/>
      <c r="D41" s="123" t="s">
        <v>265</v>
      </c>
      <c r="E41" s="212">
        <v>0.0175</v>
      </c>
      <c r="F41" s="366">
        <v>1612.31</v>
      </c>
      <c r="G41" s="367"/>
      <c r="H41" s="272"/>
      <c r="I41" s="273"/>
      <c r="L41" s="124"/>
    </row>
    <row r="42" spans="1:12" ht="15">
      <c r="A42" s="34" t="s">
        <v>18</v>
      </c>
      <c r="B42" s="325" t="s">
        <v>465</v>
      </c>
      <c r="C42" s="327"/>
      <c r="D42" s="123" t="s">
        <v>261</v>
      </c>
      <c r="E42" s="126">
        <v>0.025</v>
      </c>
      <c r="F42" s="366">
        <v>1952</v>
      </c>
      <c r="G42" s="367"/>
      <c r="H42" s="40"/>
      <c r="I42" s="40"/>
      <c r="L42" s="124"/>
    </row>
    <row r="43" spans="1:12" ht="15">
      <c r="A43" s="34" t="s">
        <v>20</v>
      </c>
      <c r="B43" s="325" t="s">
        <v>178</v>
      </c>
      <c r="C43" s="327"/>
      <c r="D43" s="123"/>
      <c r="E43" s="123" t="s">
        <v>286</v>
      </c>
      <c r="F43" s="366">
        <v>40314</v>
      </c>
      <c r="G43" s="367"/>
      <c r="H43" s="40"/>
      <c r="I43" s="40"/>
      <c r="L43" s="124"/>
    </row>
    <row r="44" spans="1:12" ht="15">
      <c r="A44" s="34" t="s">
        <v>22</v>
      </c>
      <c r="B44" s="325" t="s">
        <v>178</v>
      </c>
      <c r="C44" s="327"/>
      <c r="D44" s="123" t="s">
        <v>352</v>
      </c>
      <c r="E44" s="123">
        <v>0.3</v>
      </c>
      <c r="F44" s="366">
        <v>13737</v>
      </c>
      <c r="G44" s="367"/>
      <c r="H44" s="40"/>
      <c r="I44" s="40"/>
      <c r="L44" s="124"/>
    </row>
    <row r="45" spans="1:12" ht="15">
      <c r="A45" s="34" t="s">
        <v>24</v>
      </c>
      <c r="B45" s="325" t="s">
        <v>773</v>
      </c>
      <c r="C45" s="327"/>
      <c r="D45" s="123"/>
      <c r="E45" s="123"/>
      <c r="F45" s="366">
        <v>27000</v>
      </c>
      <c r="G45" s="367"/>
      <c r="H45" s="40"/>
      <c r="I45" s="40"/>
      <c r="L45" s="124"/>
    </row>
    <row r="46" spans="1:12" ht="15">
      <c r="A46" s="34" t="s">
        <v>106</v>
      </c>
      <c r="B46" s="325" t="s">
        <v>774</v>
      </c>
      <c r="C46" s="327"/>
      <c r="D46" s="123"/>
      <c r="E46" s="123"/>
      <c r="F46" s="366">
        <v>26300</v>
      </c>
      <c r="G46" s="367"/>
      <c r="H46" s="40"/>
      <c r="I46" s="40"/>
      <c r="L46" s="124"/>
    </row>
    <row r="47" spans="1:12" ht="15">
      <c r="A47" s="34" t="s">
        <v>107</v>
      </c>
      <c r="B47" s="325" t="s">
        <v>713</v>
      </c>
      <c r="C47" s="327"/>
      <c r="D47" s="123"/>
      <c r="E47" s="123"/>
      <c r="F47" s="366">
        <v>13737</v>
      </c>
      <c r="G47" s="367"/>
      <c r="H47" s="40"/>
      <c r="I47" s="40"/>
      <c r="L47" s="124"/>
    </row>
    <row r="48" spans="1:11" s="71" customFormat="1" ht="15">
      <c r="A48" s="34" t="s">
        <v>120</v>
      </c>
      <c r="B48" s="364" t="s">
        <v>207</v>
      </c>
      <c r="C48" s="365"/>
      <c r="D48" s="129"/>
      <c r="E48" s="129"/>
      <c r="F48" s="355">
        <f>E25*1%</f>
        <v>1075.4850000000001</v>
      </c>
      <c r="G48" s="355"/>
      <c r="H48" s="63"/>
      <c r="I48" s="63"/>
      <c r="J48" s="63"/>
      <c r="K48" s="63"/>
    </row>
    <row r="49" s="63" customFormat="1" ht="9" customHeight="1"/>
    <row r="50" spans="1:11" s="63" customFormat="1" ht="15">
      <c r="A50" s="71" t="s">
        <v>55</v>
      </c>
      <c r="B50" s="71"/>
      <c r="C50" s="131" t="s">
        <v>49</v>
      </c>
      <c r="D50" s="71"/>
      <c r="E50" s="71"/>
      <c r="F50" s="71" t="s">
        <v>93</v>
      </c>
      <c r="G50" s="71"/>
      <c r="H50" s="71"/>
      <c r="I50" s="71"/>
      <c r="J50" s="71"/>
      <c r="K50" s="71"/>
    </row>
    <row r="51" spans="1:7" s="63" customFormat="1" ht="15">
      <c r="A51" s="71"/>
      <c r="B51" s="71"/>
      <c r="C51" s="131"/>
      <c r="D51" s="71"/>
      <c r="E51" s="71"/>
      <c r="F51" s="132" t="s">
        <v>296</v>
      </c>
      <c r="G51" s="71"/>
    </row>
    <row r="52" spans="1:10" s="63" customFormat="1" ht="15">
      <c r="A52" s="71" t="s">
        <v>50</v>
      </c>
      <c r="B52" s="71"/>
      <c r="C52" s="131"/>
      <c r="D52" s="71"/>
      <c r="E52" s="71"/>
      <c r="F52" s="71"/>
      <c r="G52" s="71"/>
      <c r="H52" s="164"/>
      <c r="I52" s="164"/>
      <c r="J52" s="164"/>
    </row>
    <row r="53" spans="1:11" ht="15">
      <c r="A53" s="71"/>
      <c r="B53" s="71"/>
      <c r="C53" s="133" t="s">
        <v>51</v>
      </c>
      <c r="D53" s="71"/>
      <c r="E53" s="134"/>
      <c r="F53" s="134"/>
      <c r="G53" s="134"/>
      <c r="H53" s="63"/>
      <c r="I53" s="63"/>
      <c r="J53" s="63"/>
      <c r="K53" s="63"/>
    </row>
    <row r="54" spans="1:11" ht="12.7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30">
    <mergeCell ref="B48:C48"/>
    <mergeCell ref="F48:G48"/>
    <mergeCell ref="B45:C45"/>
    <mergeCell ref="B46:C46"/>
    <mergeCell ref="F40:G40"/>
    <mergeCell ref="B41:C41"/>
    <mergeCell ref="B43:C43"/>
    <mergeCell ref="F43:G43"/>
    <mergeCell ref="B44:C44"/>
    <mergeCell ref="B47:C47"/>
    <mergeCell ref="F45:G45"/>
    <mergeCell ref="F46:G46"/>
    <mergeCell ref="F47:G47"/>
    <mergeCell ref="A12:C12"/>
    <mergeCell ref="F41:G41"/>
    <mergeCell ref="B42:C42"/>
    <mergeCell ref="A33:C33"/>
    <mergeCell ref="A37:K37"/>
    <mergeCell ref="F39:G39"/>
    <mergeCell ref="B40:C40"/>
    <mergeCell ref="A1:K1"/>
    <mergeCell ref="A2:K2"/>
    <mergeCell ref="A3:K3"/>
    <mergeCell ref="A5:K5"/>
    <mergeCell ref="A9:K9"/>
    <mergeCell ref="F44:G44"/>
    <mergeCell ref="A11:K11"/>
    <mergeCell ref="A10:K10"/>
    <mergeCell ref="F42:G42"/>
    <mergeCell ref="B39:C3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7030A0"/>
  </sheetPr>
  <dimension ref="A1:T59"/>
  <sheetViews>
    <sheetView zoomScalePageLayoutView="0" workbookViewId="0" topLeftCell="A1">
      <selection activeCell="G36" sqref="G36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12.00390625" style="61" bestFit="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202</v>
      </c>
      <c r="H7" s="64"/>
    </row>
    <row r="8" spans="1:9" s="63" customFormat="1" ht="12.75">
      <c r="A8" s="63" t="s">
        <v>3</v>
      </c>
      <c r="F8" s="64" t="s">
        <v>638</v>
      </c>
      <c r="H8" s="64">
        <v>196.5</v>
      </c>
      <c r="I8" s="65">
        <f>15230.3+H8</f>
        <v>15426.8</v>
      </c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1268023.63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'[1]Молодежная 46'!$G$97</f>
        <v>352338.50800000015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455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46">
        <f>C18+C19+C20+C21+C22</f>
        <v>10.700000000000001</v>
      </c>
      <c r="D17" s="80">
        <v>1969060.51</v>
      </c>
      <c r="E17" s="80">
        <v>1959368.57</v>
      </c>
      <c r="F17" s="80">
        <f>SUM(F18:F22)</f>
        <v>1968399.0848785043</v>
      </c>
      <c r="G17" s="81">
        <f>E17-D17</f>
        <v>-9691.939999999944</v>
      </c>
      <c r="H17" s="82">
        <f aca="true" t="shared" si="0" ref="H17:H22">C17</f>
        <v>10.700000000000001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614641.3180747663</v>
      </c>
      <c r="E18" s="87">
        <f>E17*I18</f>
        <v>611615.9835327102</v>
      </c>
      <c r="F18" s="87">
        <f aca="true" t="shared" si="1" ref="F18:F24">D18</f>
        <v>614641.3180747663</v>
      </c>
      <c r="G18" s="88">
        <f aca="true" t="shared" si="2" ref="G18:G27">E18-D18</f>
        <v>-3025.33454205608</v>
      </c>
      <c r="H18" s="82">
        <f t="shared" si="0"/>
        <v>3.34</v>
      </c>
      <c r="I18" s="63">
        <f>H18/H17</f>
        <v>0.31214953271028034</v>
      </c>
    </row>
    <row r="19" spans="1:9" s="63" customFormat="1" ht="15">
      <c r="A19" s="85" t="s">
        <v>18</v>
      </c>
      <c r="B19" s="34" t="s">
        <v>19</v>
      </c>
      <c r="C19" s="89">
        <v>1.63</v>
      </c>
      <c r="D19" s="87">
        <f>D17*I19</f>
        <v>299959.6851682242</v>
      </c>
      <c r="E19" s="87">
        <f>E17*I19</f>
        <v>298483.2494485981</v>
      </c>
      <c r="F19" s="87">
        <f t="shared" si="1"/>
        <v>299959.6851682242</v>
      </c>
      <c r="G19" s="88">
        <f t="shared" si="2"/>
        <v>-1476.4357196261408</v>
      </c>
      <c r="H19" s="82">
        <f t="shared" si="0"/>
        <v>1.63</v>
      </c>
      <c r="I19" s="63">
        <f>H19/H17</f>
        <v>0.1523364485981308</v>
      </c>
    </row>
    <row r="20" spans="1:9" s="63" customFormat="1" ht="15">
      <c r="A20" s="85" t="s">
        <v>20</v>
      </c>
      <c r="B20" s="34" t="s">
        <v>21</v>
      </c>
      <c r="C20" s="89">
        <v>1.92</v>
      </c>
      <c r="D20" s="87">
        <f>D17*I20</f>
        <v>353326.74571962614</v>
      </c>
      <c r="E20" s="87">
        <f>E17*I20</f>
        <v>351587.63125233643</v>
      </c>
      <c r="F20" s="87">
        <f t="shared" si="1"/>
        <v>353326.74571962614</v>
      </c>
      <c r="G20" s="88">
        <f t="shared" si="2"/>
        <v>-1739.1144672897062</v>
      </c>
      <c r="H20" s="82">
        <f t="shared" si="0"/>
        <v>1.92</v>
      </c>
      <c r="I20" s="63">
        <f>H20/H17</f>
        <v>0.17943925233644858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539191.3359158878</v>
      </c>
      <c r="E21" s="87">
        <f>E17*I21</f>
        <v>536537.374775701</v>
      </c>
      <c r="F21" s="87">
        <f t="shared" si="1"/>
        <v>539191.3359158878</v>
      </c>
      <c r="G21" s="88">
        <f t="shared" si="2"/>
        <v>-2653.961140186875</v>
      </c>
      <c r="H21" s="82">
        <f t="shared" si="0"/>
        <v>2.93</v>
      </c>
      <c r="I21" s="63">
        <f>H21/H17</f>
        <v>0.2738317757009346</v>
      </c>
    </row>
    <row r="22" spans="1:9" s="63" customFormat="1" ht="15">
      <c r="A22" s="85" t="s">
        <v>24</v>
      </c>
      <c r="B22" s="34" t="s">
        <v>203</v>
      </c>
      <c r="C22" s="86">
        <v>0.88</v>
      </c>
      <c r="D22" s="87">
        <f>D17*I22</f>
        <v>161941.4251214953</v>
      </c>
      <c r="E22" s="87">
        <f>E17*I22</f>
        <v>161144.33099065418</v>
      </c>
      <c r="F22" s="261">
        <f>F53</f>
        <v>161280</v>
      </c>
      <c r="G22" s="88">
        <f>E22-D22</f>
        <v>-797.0941308411129</v>
      </c>
      <c r="H22" s="82">
        <f t="shared" si="0"/>
        <v>0.88</v>
      </c>
      <c r="I22" s="63">
        <f>H22/H17</f>
        <v>0.0822429906542056</v>
      </c>
    </row>
    <row r="23" spans="1:11" s="93" customFormat="1" ht="14.25">
      <c r="A23" s="90" t="s">
        <v>25</v>
      </c>
      <c r="B23" s="90" t="s">
        <v>26</v>
      </c>
      <c r="C23" s="46">
        <v>3.72</v>
      </c>
      <c r="D23" s="91">
        <v>684793.26</v>
      </c>
      <c r="E23" s="91">
        <v>684322.34</v>
      </c>
      <c r="F23" s="91">
        <f t="shared" si="1"/>
        <v>684793.26</v>
      </c>
      <c r="G23" s="91">
        <f t="shared" si="2"/>
        <v>-470.9200000000419</v>
      </c>
      <c r="H23" s="92"/>
      <c r="I23" s="92"/>
      <c r="J23" s="92"/>
      <c r="K23" s="92"/>
    </row>
    <row r="24" spans="1:11" s="93" customFormat="1" ht="14.25">
      <c r="A24" s="90" t="s">
        <v>27</v>
      </c>
      <c r="B24" s="90" t="s">
        <v>28</v>
      </c>
      <c r="C24" s="46">
        <v>0</v>
      </c>
      <c r="D24" s="91">
        <v>0</v>
      </c>
      <c r="E24" s="91">
        <v>0</v>
      </c>
      <c r="F24" s="91">
        <f t="shared" si="1"/>
        <v>0</v>
      </c>
      <c r="G24" s="91">
        <v>0</v>
      </c>
      <c r="H24" s="92"/>
      <c r="I24" s="92"/>
      <c r="J24" s="92"/>
      <c r="K24" s="92"/>
    </row>
    <row r="25" spans="1:11" s="93" customFormat="1" ht="28.5">
      <c r="A25" s="90" t="s">
        <v>29</v>
      </c>
      <c r="B25" s="90" t="s">
        <v>777</v>
      </c>
      <c r="C25" s="46">
        <v>100</v>
      </c>
      <c r="D25" s="91">
        <v>367200</v>
      </c>
      <c r="E25" s="91">
        <v>367304.68</v>
      </c>
      <c r="F25" s="91">
        <f>D25</f>
        <v>367200</v>
      </c>
      <c r="G25" s="91">
        <f t="shared" si="2"/>
        <v>104.67999999999302</v>
      </c>
      <c r="H25" s="92"/>
      <c r="I25" s="92"/>
      <c r="J25" s="92"/>
      <c r="K25" s="92"/>
    </row>
    <row r="26" spans="1:11" s="93" customFormat="1" ht="14.25">
      <c r="A26" s="90" t="s">
        <v>31</v>
      </c>
      <c r="B26" s="90" t="s">
        <v>119</v>
      </c>
      <c r="C26" s="99">
        <v>1.99</v>
      </c>
      <c r="D26" s="91">
        <v>364880.33</v>
      </c>
      <c r="E26" s="91">
        <v>364452.5</v>
      </c>
      <c r="F26" s="91">
        <f>F44</f>
        <v>106755.60499999998</v>
      </c>
      <c r="G26" s="91">
        <f>E26-D26</f>
        <v>-427.8300000000163</v>
      </c>
      <c r="H26" s="92"/>
      <c r="I26" s="92"/>
      <c r="J26" s="92"/>
      <c r="K26" s="287"/>
    </row>
    <row r="27" spans="1:12" ht="14.25">
      <c r="A27" s="41" t="s">
        <v>33</v>
      </c>
      <c r="B27" s="41" t="s">
        <v>170</v>
      </c>
      <c r="C27" s="101" t="s">
        <v>314</v>
      </c>
      <c r="D27" s="81">
        <v>0</v>
      </c>
      <c r="E27" s="81">
        <v>0</v>
      </c>
      <c r="F27" s="91">
        <f>D27</f>
        <v>0</v>
      </c>
      <c r="G27" s="81">
        <f t="shared" si="2"/>
        <v>0</v>
      </c>
      <c r="H27" s="102"/>
      <c r="I27" s="102"/>
      <c r="J27" s="102"/>
      <c r="K27" s="102"/>
      <c r="L27" s="231"/>
    </row>
    <row r="28" spans="1:11" ht="14.25">
      <c r="A28" s="41" t="s">
        <v>35</v>
      </c>
      <c r="B28" s="41" t="s">
        <v>36</v>
      </c>
      <c r="C28" s="101"/>
      <c r="D28" s="81">
        <f>SUM(D29:D32)</f>
        <v>8933532.649999999</v>
      </c>
      <c r="E28" s="81">
        <f>SUM(E29:E32)</f>
        <v>8834689.579999998</v>
      </c>
      <c r="F28" s="81">
        <f>SUM(F29:F32)</f>
        <v>8933532.649999999</v>
      </c>
      <c r="G28" s="81">
        <f>SUM(G29:G32)</f>
        <v>-98843.07000000007</v>
      </c>
      <c r="H28" s="102"/>
      <c r="I28" s="102"/>
      <c r="J28" s="102"/>
      <c r="K28" s="102"/>
    </row>
    <row r="29" spans="1:7" ht="15">
      <c r="A29" s="34" t="s">
        <v>37</v>
      </c>
      <c r="B29" s="34" t="s">
        <v>184</v>
      </c>
      <c r="C29" s="236" t="s">
        <v>323</v>
      </c>
      <c r="D29" s="88">
        <v>1897963.54</v>
      </c>
      <c r="E29" s="88">
        <v>1919880.78</v>
      </c>
      <c r="F29" s="88">
        <f>D29</f>
        <v>1897963.54</v>
      </c>
      <c r="G29" s="88">
        <f>E29-D29</f>
        <v>21917.23999999999</v>
      </c>
    </row>
    <row r="30" spans="1:7" ht="15">
      <c r="A30" s="34" t="s">
        <v>39</v>
      </c>
      <c r="B30" s="34" t="s">
        <v>142</v>
      </c>
      <c r="C30" s="103" t="s">
        <v>324</v>
      </c>
      <c r="D30" s="88">
        <v>996335.92</v>
      </c>
      <c r="E30" s="88">
        <v>1023108.68</v>
      </c>
      <c r="F30" s="88">
        <f>D30</f>
        <v>996335.92</v>
      </c>
      <c r="G30" s="88">
        <f>E30-D30</f>
        <v>26772.76000000001</v>
      </c>
    </row>
    <row r="31" spans="1:7" ht="15">
      <c r="A31" s="34" t="s">
        <v>42</v>
      </c>
      <c r="B31" s="34" t="s">
        <v>143</v>
      </c>
      <c r="C31" s="236" t="s">
        <v>479</v>
      </c>
      <c r="D31" s="88">
        <v>1686710.05</v>
      </c>
      <c r="E31" s="88">
        <v>1551128.06</v>
      </c>
      <c r="F31" s="88">
        <f>D31</f>
        <v>1686710.05</v>
      </c>
      <c r="G31" s="88">
        <f>E31-D31</f>
        <v>-135581.99</v>
      </c>
    </row>
    <row r="32" spans="1:7" ht="15">
      <c r="A32" s="34" t="s">
        <v>41</v>
      </c>
      <c r="B32" s="34" t="s">
        <v>43</v>
      </c>
      <c r="C32" s="236" t="s">
        <v>480</v>
      </c>
      <c r="D32" s="88">
        <v>4352523.14</v>
      </c>
      <c r="E32" s="88">
        <v>4340572.06</v>
      </c>
      <c r="F32" s="88">
        <f>D32</f>
        <v>4352523.14</v>
      </c>
      <c r="G32" s="88">
        <f>E32-D32</f>
        <v>-11951.080000000075</v>
      </c>
    </row>
    <row r="33" spans="1:9" s="106" customFormat="1" ht="7.5" customHeight="1" thickBot="1">
      <c r="A33" s="104"/>
      <c r="B33" s="104"/>
      <c r="C33" s="104"/>
      <c r="D33" s="105"/>
      <c r="E33" s="105"/>
      <c r="F33" s="105"/>
      <c r="G33" s="105"/>
      <c r="H33" s="105"/>
      <c r="I33" s="105"/>
    </row>
    <row r="34" spans="1:9" s="71" customFormat="1" ht="15.75" thickBot="1">
      <c r="A34" s="319" t="s">
        <v>420</v>
      </c>
      <c r="B34" s="320"/>
      <c r="C34" s="320"/>
      <c r="D34" s="69">
        <f>D12+D17+D23+D24+D25+D26+D27+D28-E17-E23-E24-E25-E26-E27-E28</f>
        <v>1377352.710000001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11" s="71" customFormat="1" ht="15.75" thickBot="1">
      <c r="A36" s="67" t="s">
        <v>558</v>
      </c>
      <c r="B36" s="68"/>
      <c r="C36" s="68"/>
      <c r="D36" s="73"/>
      <c r="E36" s="74"/>
      <c r="F36" s="74"/>
      <c r="G36" s="75">
        <f>G14+E26-F26</f>
        <v>610035.4030000002</v>
      </c>
      <c r="H36" s="66"/>
      <c r="I36" s="66"/>
      <c r="K36" s="152"/>
    </row>
    <row r="37" spans="1:11" s="106" customFormat="1" ht="13.5">
      <c r="A37" s="108"/>
      <c r="B37" s="108"/>
      <c r="C37" s="108"/>
      <c r="D37" s="108"/>
      <c r="E37" s="105"/>
      <c r="F37" s="105"/>
      <c r="G37" s="105"/>
      <c r="H37" s="105"/>
      <c r="I37" s="105"/>
      <c r="J37" s="105"/>
      <c r="K37" s="105"/>
    </row>
    <row r="38" spans="1:11" s="106" customFormat="1" ht="13.5">
      <c r="A38" s="419" t="s">
        <v>151</v>
      </c>
      <c r="B38" s="420"/>
      <c r="C38" s="44" t="s">
        <v>152</v>
      </c>
      <c r="D38" s="44" t="s">
        <v>153</v>
      </c>
      <c r="E38" s="45" t="s">
        <v>154</v>
      </c>
      <c r="F38" s="42" t="s">
        <v>155</v>
      </c>
      <c r="G38" s="45" t="s">
        <v>156</v>
      </c>
      <c r="H38" s="105"/>
      <c r="I38" s="105"/>
      <c r="J38" s="105"/>
      <c r="K38" s="105"/>
    </row>
    <row r="39" spans="1:11" s="106" customFormat="1" ht="15">
      <c r="A39" s="421"/>
      <c r="B39" s="422"/>
      <c r="C39" s="240">
        <f>58.3+80.9+57.3</f>
        <v>196.5</v>
      </c>
      <c r="D39" s="160">
        <f>E39/C39/12</f>
        <v>12.379550466497031</v>
      </c>
      <c r="E39" s="255">
        <f>11480.4+15930.84+1779.74</f>
        <v>29190.98</v>
      </c>
      <c r="F39" s="255">
        <f>13880.6+15655.78+1779.74</f>
        <v>31316.120000000003</v>
      </c>
      <c r="G39" s="160">
        <f>E39-F39</f>
        <v>-2125.140000000003</v>
      </c>
      <c r="H39" s="105">
        <v>11480.4</v>
      </c>
      <c r="I39" s="105">
        <v>15930.84</v>
      </c>
      <c r="J39" s="105">
        <v>1779.74</v>
      </c>
      <c r="K39" s="105"/>
    </row>
    <row r="40" spans="1:11" s="106" customFormat="1" ht="13.5">
      <c r="A40" s="108"/>
      <c r="B40" s="108"/>
      <c r="C40" s="108"/>
      <c r="D40" s="108"/>
      <c r="E40" s="105"/>
      <c r="F40" s="105"/>
      <c r="G40" s="105"/>
      <c r="H40" s="105"/>
      <c r="I40" s="105"/>
      <c r="J40" s="105"/>
      <c r="K40" s="105"/>
    </row>
    <row r="41" spans="1:20" ht="31.5" customHeight="1">
      <c r="A41" s="321" t="s">
        <v>196</v>
      </c>
      <c r="B41" s="349"/>
      <c r="C41" s="349"/>
      <c r="D41" s="349"/>
      <c r="E41" s="349"/>
      <c r="F41" s="349"/>
      <c r="G41" s="349"/>
      <c r="H41" s="62"/>
      <c r="I41" s="62"/>
      <c r="J41" s="62"/>
      <c r="K41" s="62"/>
      <c r="L41" s="448"/>
      <c r="M41" s="448"/>
      <c r="N41" s="288"/>
      <c r="O41" s="288"/>
      <c r="P41" s="243"/>
      <c r="Q41" s="289"/>
      <c r="R41" s="243"/>
      <c r="S41" s="96"/>
      <c r="T41" s="96"/>
    </row>
    <row r="42" spans="12:20" ht="15">
      <c r="L42" s="448"/>
      <c r="M42" s="448"/>
      <c r="N42" s="288"/>
      <c r="O42" s="243"/>
      <c r="P42" s="290"/>
      <c r="Q42" s="290"/>
      <c r="R42" s="243"/>
      <c r="S42" s="96"/>
      <c r="T42" s="96"/>
    </row>
    <row r="43" spans="1:12" s="78" customFormat="1" ht="37.5" customHeight="1">
      <c r="A43" s="109" t="s">
        <v>11</v>
      </c>
      <c r="B43" s="426" t="s">
        <v>45</v>
      </c>
      <c r="C43" s="426"/>
      <c r="D43" s="109" t="s">
        <v>172</v>
      </c>
      <c r="E43" s="109" t="s">
        <v>171</v>
      </c>
      <c r="F43" s="426" t="s">
        <v>46</v>
      </c>
      <c r="G43" s="426"/>
      <c r="H43" s="110"/>
      <c r="I43" s="111"/>
      <c r="L43" s="112"/>
    </row>
    <row r="44" spans="1:12" s="119" customFormat="1" ht="15" customHeight="1">
      <c r="A44" s="113" t="s">
        <v>47</v>
      </c>
      <c r="B44" s="427" t="s">
        <v>114</v>
      </c>
      <c r="C44" s="427"/>
      <c r="D44" s="115"/>
      <c r="E44" s="115"/>
      <c r="F44" s="436">
        <f>SUM(F45:G52)</f>
        <v>106755.60499999998</v>
      </c>
      <c r="G44" s="437"/>
      <c r="H44" s="117"/>
      <c r="I44" s="118"/>
      <c r="L44" s="120"/>
    </row>
    <row r="45" spans="1:12" ht="15">
      <c r="A45" s="34" t="s">
        <v>16</v>
      </c>
      <c r="B45" s="425" t="s">
        <v>481</v>
      </c>
      <c r="C45" s="425"/>
      <c r="D45" s="123" t="s">
        <v>173</v>
      </c>
      <c r="E45" s="123">
        <v>1.5</v>
      </c>
      <c r="F45" s="355">
        <v>11520.59</v>
      </c>
      <c r="G45" s="355"/>
      <c r="H45" s="40"/>
      <c r="I45" s="40"/>
      <c r="L45" s="124"/>
    </row>
    <row r="46" spans="1:12" ht="15">
      <c r="A46" s="34" t="s">
        <v>18</v>
      </c>
      <c r="B46" s="325" t="s">
        <v>775</v>
      </c>
      <c r="C46" s="327"/>
      <c r="D46" s="123" t="s">
        <v>177</v>
      </c>
      <c r="E46" s="123">
        <v>0.25</v>
      </c>
      <c r="F46" s="366">
        <v>53370.64</v>
      </c>
      <c r="G46" s="367"/>
      <c r="H46" s="40"/>
      <c r="I46" s="40"/>
      <c r="L46" s="124"/>
    </row>
    <row r="47" spans="1:12" ht="15">
      <c r="A47" s="34" t="s">
        <v>20</v>
      </c>
      <c r="B47" s="325" t="s">
        <v>776</v>
      </c>
      <c r="C47" s="327"/>
      <c r="D47" s="123" t="s">
        <v>177</v>
      </c>
      <c r="E47" s="123">
        <v>0.11</v>
      </c>
      <c r="F47" s="366">
        <v>20027.35</v>
      </c>
      <c r="G47" s="367"/>
      <c r="H47" s="40"/>
      <c r="I47" s="40"/>
      <c r="L47" s="124"/>
    </row>
    <row r="48" spans="1:12" ht="69.75" customHeight="1">
      <c r="A48" s="276" t="s">
        <v>22</v>
      </c>
      <c r="B48" s="325" t="s">
        <v>655</v>
      </c>
      <c r="C48" s="327"/>
      <c r="D48" s="123"/>
      <c r="E48" s="123"/>
      <c r="F48" s="366">
        <v>6000</v>
      </c>
      <c r="G48" s="367"/>
      <c r="H48" s="40"/>
      <c r="I48" s="40"/>
      <c r="L48" s="124"/>
    </row>
    <row r="49" spans="1:11" s="71" customFormat="1" ht="21" customHeight="1">
      <c r="A49" s="34" t="s">
        <v>24</v>
      </c>
      <c r="B49" s="325" t="s">
        <v>688</v>
      </c>
      <c r="C49" s="327"/>
      <c r="D49" s="123" t="s">
        <v>677</v>
      </c>
      <c r="E49" s="123"/>
      <c r="F49" s="366">
        <v>6247.5</v>
      </c>
      <c r="G49" s="367"/>
      <c r="H49" s="63"/>
      <c r="I49" s="63"/>
      <c r="J49" s="63"/>
      <c r="K49" s="63"/>
    </row>
    <row r="50" spans="1:11" s="71" customFormat="1" ht="24" customHeight="1">
      <c r="A50" s="34" t="s">
        <v>106</v>
      </c>
      <c r="B50" s="325" t="s">
        <v>678</v>
      </c>
      <c r="C50" s="327"/>
      <c r="D50" s="123" t="s">
        <v>173</v>
      </c>
      <c r="E50" s="123">
        <v>1</v>
      </c>
      <c r="F50" s="366">
        <v>945</v>
      </c>
      <c r="G50" s="367"/>
      <c r="H50" s="63"/>
      <c r="I50" s="63"/>
      <c r="J50" s="63"/>
      <c r="K50" s="63"/>
    </row>
    <row r="51" spans="1:11" s="71" customFormat="1" ht="20.25" customHeight="1">
      <c r="A51" s="34" t="s">
        <v>107</v>
      </c>
      <c r="B51" s="325" t="s">
        <v>714</v>
      </c>
      <c r="C51" s="327"/>
      <c r="D51" s="123"/>
      <c r="E51" s="123"/>
      <c r="F51" s="366">
        <v>5000</v>
      </c>
      <c r="G51" s="367"/>
      <c r="H51" s="63"/>
      <c r="I51" s="63"/>
      <c r="J51" s="63"/>
      <c r="K51" s="63"/>
    </row>
    <row r="52" spans="1:11" s="71" customFormat="1" ht="20.25" customHeight="1">
      <c r="A52" s="34" t="s">
        <v>120</v>
      </c>
      <c r="B52" s="364" t="s">
        <v>207</v>
      </c>
      <c r="C52" s="365"/>
      <c r="D52" s="129"/>
      <c r="E52" s="129"/>
      <c r="F52" s="355">
        <f>E26*1%</f>
        <v>3644.525</v>
      </c>
      <c r="G52" s="355"/>
      <c r="H52" s="63"/>
      <c r="I52" s="63"/>
      <c r="J52" s="63"/>
      <c r="K52" s="63"/>
    </row>
    <row r="53" spans="1:11" s="71" customFormat="1" ht="20.25" customHeight="1">
      <c r="A53" s="41" t="s">
        <v>715</v>
      </c>
      <c r="B53" s="449" t="s">
        <v>203</v>
      </c>
      <c r="C53" s="450"/>
      <c r="D53" s="302"/>
      <c r="E53" s="302"/>
      <c r="F53" s="451">
        <f>F54</f>
        <v>161280</v>
      </c>
      <c r="G53" s="452"/>
      <c r="H53" s="63"/>
      <c r="I53" s="63"/>
      <c r="J53" s="63"/>
      <c r="K53" s="63"/>
    </row>
    <row r="54" spans="1:7" ht="15">
      <c r="A54" s="34"/>
      <c r="B54" s="325" t="s">
        <v>716</v>
      </c>
      <c r="C54" s="327"/>
      <c r="D54" s="123"/>
      <c r="E54" s="123"/>
      <c r="F54" s="366">
        <f>13440*12</f>
        <v>161280</v>
      </c>
      <c r="G54" s="367"/>
    </row>
    <row r="55" spans="1:7" ht="12.75">
      <c r="A55" s="63"/>
      <c r="B55" s="63"/>
      <c r="C55" s="63"/>
      <c r="D55" s="63"/>
      <c r="E55" s="63"/>
      <c r="F55" s="63"/>
      <c r="G55" s="63"/>
    </row>
    <row r="56" spans="1:7" ht="15">
      <c r="A56" s="71" t="s">
        <v>55</v>
      </c>
      <c r="B56" s="71"/>
      <c r="C56" s="131" t="s">
        <v>49</v>
      </c>
      <c r="D56" s="71"/>
      <c r="E56" s="71"/>
      <c r="F56" s="71" t="s">
        <v>93</v>
      </c>
      <c r="G56" s="71"/>
    </row>
    <row r="57" spans="1:7" ht="15">
      <c r="A57" s="71"/>
      <c r="B57" s="71"/>
      <c r="C57" s="131"/>
      <c r="D57" s="71"/>
      <c r="E57" s="71"/>
      <c r="F57" s="132" t="s">
        <v>296</v>
      </c>
      <c r="G57" s="71"/>
    </row>
    <row r="58" spans="1:7" ht="15">
      <c r="A58" s="71" t="s">
        <v>50</v>
      </c>
      <c r="B58" s="71"/>
      <c r="C58" s="131"/>
      <c r="D58" s="71"/>
      <c r="E58" s="71"/>
      <c r="F58" s="71"/>
      <c r="G58" s="71"/>
    </row>
    <row r="59" spans="1:7" ht="15">
      <c r="A59" s="71"/>
      <c r="B59" s="71"/>
      <c r="C59" s="133" t="s">
        <v>51</v>
      </c>
      <c r="D59" s="71"/>
      <c r="E59" s="134"/>
      <c r="F59" s="134"/>
      <c r="G59" s="134"/>
    </row>
  </sheetData>
  <sheetProtection/>
  <mergeCells count="36">
    <mergeCell ref="B50:C50"/>
    <mergeCell ref="F50:G50"/>
    <mergeCell ref="B51:C51"/>
    <mergeCell ref="F51:G51"/>
    <mergeCell ref="B53:C53"/>
    <mergeCell ref="F53:G53"/>
    <mergeCell ref="B52:C52"/>
    <mergeCell ref="F52:G52"/>
    <mergeCell ref="B48:C48"/>
    <mergeCell ref="F48:G48"/>
    <mergeCell ref="B45:C45"/>
    <mergeCell ref="F45:G45"/>
    <mergeCell ref="B54:C54"/>
    <mergeCell ref="F54:G54"/>
    <mergeCell ref="B46:C46"/>
    <mergeCell ref="F46:G46"/>
    <mergeCell ref="B49:C49"/>
    <mergeCell ref="F49:G49"/>
    <mergeCell ref="B47:C47"/>
    <mergeCell ref="F47:G47"/>
    <mergeCell ref="A12:C12"/>
    <mergeCell ref="A34:C34"/>
    <mergeCell ref="B43:C43"/>
    <mergeCell ref="F43:G43"/>
    <mergeCell ref="B44:C44"/>
    <mergeCell ref="F44:G44"/>
    <mergeCell ref="L41:M42"/>
    <mergeCell ref="A38:B39"/>
    <mergeCell ref="A41:G41"/>
    <mergeCell ref="A10:K10"/>
    <mergeCell ref="A1:K1"/>
    <mergeCell ref="A2:K2"/>
    <mergeCell ref="A3:K3"/>
    <mergeCell ref="A5:K5"/>
    <mergeCell ref="A9:K9"/>
    <mergeCell ref="A11:K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7030A0"/>
  </sheetPr>
  <dimension ref="A1:N60"/>
  <sheetViews>
    <sheetView zoomScalePageLayoutView="0" workbookViewId="0" topLeftCell="A1">
      <selection activeCell="G36" sqref="G36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255</v>
      </c>
      <c r="H7" s="64"/>
    </row>
    <row r="8" spans="1:8" s="63" customFormat="1" ht="12.75">
      <c r="A8" s="63" t="s">
        <v>3</v>
      </c>
      <c r="F8" s="64" t="s">
        <v>484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275628.25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'[1]Молодежная 48'!$G$36</f>
        <v>70164.0774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455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46">
        <f>C18+C19+C20+C21+C22</f>
        <v>11.040000000000001</v>
      </c>
      <c r="D17" s="80">
        <v>1360260.44</v>
      </c>
      <c r="E17" s="80">
        <v>1327359.33</v>
      </c>
      <c r="F17" s="80">
        <f>SUM(F18:F22)</f>
        <v>1359941.8044202896</v>
      </c>
      <c r="G17" s="81">
        <f>E17-D17</f>
        <v>-32901.10999999987</v>
      </c>
      <c r="H17" s="82">
        <f aca="true" t="shared" si="0" ref="H17:H22">C17</f>
        <v>11.040000000000001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411528.06789855065</v>
      </c>
      <c r="E18" s="87">
        <f>E17*I18</f>
        <v>401574.2900543478</v>
      </c>
      <c r="F18" s="87">
        <f aca="true" t="shared" si="1" ref="F18:F24">D18</f>
        <v>411528.06789855065</v>
      </c>
      <c r="G18" s="88">
        <f aca="true" t="shared" si="2" ref="G18:G27">E18-D18</f>
        <v>-9953.77784420288</v>
      </c>
      <c r="H18" s="82">
        <f t="shared" si="0"/>
        <v>3.34</v>
      </c>
      <c r="I18" s="63">
        <f>H18/H17</f>
        <v>0.3025362318840579</v>
      </c>
    </row>
    <row r="19" spans="1:9" s="63" customFormat="1" ht="15">
      <c r="A19" s="85" t="s">
        <v>18</v>
      </c>
      <c r="B19" s="34" t="s">
        <v>19</v>
      </c>
      <c r="C19" s="89">
        <v>1.63</v>
      </c>
      <c r="D19" s="87">
        <f>D17*I19</f>
        <v>200835.55409420287</v>
      </c>
      <c r="E19" s="87">
        <f>E17*I19</f>
        <v>195977.8720923913</v>
      </c>
      <c r="F19" s="87">
        <f t="shared" si="1"/>
        <v>200835.55409420287</v>
      </c>
      <c r="G19" s="88">
        <f t="shared" si="2"/>
        <v>-4857.682001811569</v>
      </c>
      <c r="H19" s="82">
        <f t="shared" si="0"/>
        <v>1.63</v>
      </c>
      <c r="I19" s="63">
        <f>H19/H17</f>
        <v>0.14764492753623187</v>
      </c>
    </row>
    <row r="20" spans="1:9" s="63" customFormat="1" ht="15">
      <c r="A20" s="85" t="s">
        <v>20</v>
      </c>
      <c r="B20" s="34" t="s">
        <v>21</v>
      </c>
      <c r="C20" s="89">
        <v>1.92</v>
      </c>
      <c r="D20" s="87">
        <f>D17*I20</f>
        <v>236567.0330434782</v>
      </c>
      <c r="E20" s="87">
        <f>E17*I20</f>
        <v>230845.10086956518</v>
      </c>
      <c r="F20" s="87">
        <f t="shared" si="1"/>
        <v>236567.0330434782</v>
      </c>
      <c r="G20" s="88">
        <f t="shared" si="2"/>
        <v>-5721.932173913025</v>
      </c>
      <c r="H20" s="82">
        <f t="shared" si="0"/>
        <v>1.92</v>
      </c>
      <c r="I20" s="63">
        <f>H20/H17</f>
        <v>0.17391304347826084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361011.14938405796</v>
      </c>
      <c r="E21" s="87">
        <f>E17*I21</f>
        <v>352279.2424728261</v>
      </c>
      <c r="F21" s="87">
        <f t="shared" si="1"/>
        <v>361011.14938405796</v>
      </c>
      <c r="G21" s="88">
        <f t="shared" si="2"/>
        <v>-8731.906911231868</v>
      </c>
      <c r="H21" s="82">
        <f t="shared" si="0"/>
        <v>2.93</v>
      </c>
      <c r="I21" s="63">
        <f>H21/H17</f>
        <v>0.2653985507246377</v>
      </c>
    </row>
    <row r="22" spans="1:9" s="295" customFormat="1" ht="15">
      <c r="A22" s="291" t="s">
        <v>24</v>
      </c>
      <c r="B22" s="292" t="s">
        <v>203</v>
      </c>
      <c r="C22" s="86">
        <v>1.22</v>
      </c>
      <c r="D22" s="293">
        <f>D17*I22</f>
        <v>150318.63557971013</v>
      </c>
      <c r="E22" s="293">
        <f>E17*I22</f>
        <v>146682.82451086957</v>
      </c>
      <c r="F22" s="261">
        <f>F54</f>
        <v>150000</v>
      </c>
      <c r="G22" s="226">
        <f>E22-D22</f>
        <v>-3635.8110688405577</v>
      </c>
      <c r="H22" s="294">
        <f t="shared" si="0"/>
        <v>1.22</v>
      </c>
      <c r="I22" s="295">
        <f>H22/H17</f>
        <v>0.11050724637681159</v>
      </c>
    </row>
    <row r="23" spans="1:11" s="93" customFormat="1" ht="14.25">
      <c r="A23" s="90" t="s">
        <v>25</v>
      </c>
      <c r="B23" s="90" t="s">
        <v>26</v>
      </c>
      <c r="C23" s="46">
        <v>3.72</v>
      </c>
      <c r="D23" s="91">
        <v>455692.65</v>
      </c>
      <c r="E23" s="91">
        <v>445310.08</v>
      </c>
      <c r="F23" s="91">
        <f t="shared" si="1"/>
        <v>455692.65</v>
      </c>
      <c r="G23" s="91">
        <f t="shared" si="2"/>
        <v>-10382.570000000007</v>
      </c>
      <c r="H23" s="92"/>
      <c r="I23" s="92"/>
      <c r="J23" s="92"/>
      <c r="K23" s="92"/>
    </row>
    <row r="24" spans="1:11" s="93" customFormat="1" ht="14.25">
      <c r="A24" s="90" t="s">
        <v>27</v>
      </c>
      <c r="B24" s="90" t="s">
        <v>28</v>
      </c>
      <c r="C24" s="46">
        <v>0</v>
      </c>
      <c r="D24" s="91">
        <v>0</v>
      </c>
      <c r="E24" s="91">
        <v>0</v>
      </c>
      <c r="F24" s="91">
        <f t="shared" si="1"/>
        <v>0</v>
      </c>
      <c r="G24" s="91">
        <f t="shared" si="2"/>
        <v>0</v>
      </c>
      <c r="H24" s="92"/>
      <c r="I24" s="92"/>
      <c r="J24" s="92"/>
      <c r="K24" s="92"/>
    </row>
    <row r="25" spans="1:11" s="93" customFormat="1" ht="14.25">
      <c r="A25" s="90" t="s">
        <v>29</v>
      </c>
      <c r="B25" s="90" t="s">
        <v>278</v>
      </c>
      <c r="C25" s="46">
        <v>100</v>
      </c>
      <c r="D25" s="91">
        <v>232800</v>
      </c>
      <c r="E25" s="91">
        <v>227798.73</v>
      </c>
      <c r="F25" s="91">
        <f>D25</f>
        <v>232800</v>
      </c>
      <c r="G25" s="91">
        <f t="shared" si="2"/>
        <v>-5001.2699999999895</v>
      </c>
      <c r="H25" s="92"/>
      <c r="I25" s="92"/>
      <c r="J25" s="92"/>
      <c r="K25" s="92"/>
    </row>
    <row r="26" spans="1:11" s="93" customFormat="1" ht="14.25">
      <c r="A26" s="90" t="s">
        <v>31</v>
      </c>
      <c r="B26" s="90" t="s">
        <v>119</v>
      </c>
      <c r="C26" s="99">
        <v>1.99</v>
      </c>
      <c r="D26" s="91">
        <v>244679.2</v>
      </c>
      <c r="E26" s="91">
        <f>239120.97+403243.21</f>
        <v>642364.18</v>
      </c>
      <c r="F26" s="91">
        <f>F41</f>
        <v>66609.0918</v>
      </c>
      <c r="G26" s="91">
        <f>E26-D26</f>
        <v>397684.98000000004</v>
      </c>
      <c r="H26" s="92"/>
      <c r="I26" s="92"/>
      <c r="J26" s="92"/>
      <c r="K26" s="287"/>
    </row>
    <row r="27" spans="1:12" ht="14.25">
      <c r="A27" s="41" t="s">
        <v>33</v>
      </c>
      <c r="B27" s="41" t="s">
        <v>170</v>
      </c>
      <c r="C27" s="101" t="s">
        <v>314</v>
      </c>
      <c r="D27" s="81">
        <v>0</v>
      </c>
      <c r="E27" s="81">
        <v>0</v>
      </c>
      <c r="F27" s="91">
        <f>D27</f>
        <v>0</v>
      </c>
      <c r="G27" s="81">
        <f t="shared" si="2"/>
        <v>0</v>
      </c>
      <c r="H27" s="102"/>
      <c r="I27" s="102"/>
      <c r="J27" s="102"/>
      <c r="K27" s="102"/>
      <c r="L27" s="231"/>
    </row>
    <row r="28" spans="1:11" ht="14.25">
      <c r="A28" s="41" t="s">
        <v>35</v>
      </c>
      <c r="B28" s="41" t="s">
        <v>36</v>
      </c>
      <c r="C28" s="101"/>
      <c r="D28" s="81">
        <f>SUM(D29:D32)</f>
        <v>5869512.33</v>
      </c>
      <c r="E28" s="81">
        <f>SUM(E29:E32)</f>
        <v>5731120.449999999</v>
      </c>
      <c r="F28" s="81">
        <f>SUM(F29:F32)</f>
        <v>5869512.33</v>
      </c>
      <c r="G28" s="81">
        <f>SUM(G29:G32)</f>
        <v>-138391.8799999999</v>
      </c>
      <c r="H28" s="102"/>
      <c r="I28" s="102"/>
      <c r="J28" s="102"/>
      <c r="K28" s="102"/>
    </row>
    <row r="29" spans="1:7" ht="15">
      <c r="A29" s="34" t="s">
        <v>37</v>
      </c>
      <c r="B29" s="34" t="s">
        <v>184</v>
      </c>
      <c r="C29" s="236" t="s">
        <v>323</v>
      </c>
      <c r="D29" s="88">
        <v>1303760.65</v>
      </c>
      <c r="E29" s="88">
        <v>1299626.88</v>
      </c>
      <c r="F29" s="88">
        <f>D29</f>
        <v>1303760.65</v>
      </c>
      <c r="G29" s="88">
        <f>E29-D29</f>
        <v>-4133.770000000019</v>
      </c>
    </row>
    <row r="30" spans="1:7" ht="15">
      <c r="A30" s="34" t="s">
        <v>39</v>
      </c>
      <c r="B30" s="34" t="s">
        <v>142</v>
      </c>
      <c r="C30" s="103" t="s">
        <v>324</v>
      </c>
      <c r="D30" s="88">
        <v>671984.01</v>
      </c>
      <c r="E30" s="88">
        <v>678507.07</v>
      </c>
      <c r="F30" s="88">
        <f>D30</f>
        <v>671984.01</v>
      </c>
      <c r="G30" s="88">
        <f>E30-D30</f>
        <v>6523.0599999999395</v>
      </c>
    </row>
    <row r="31" spans="1:7" ht="15">
      <c r="A31" s="34" t="s">
        <v>42</v>
      </c>
      <c r="B31" s="34" t="s">
        <v>143</v>
      </c>
      <c r="C31" s="236" t="s">
        <v>479</v>
      </c>
      <c r="D31" s="88">
        <v>1029591.94</v>
      </c>
      <c r="E31" s="88">
        <v>990632.42</v>
      </c>
      <c r="F31" s="88">
        <f>D31</f>
        <v>1029591.94</v>
      </c>
      <c r="G31" s="88">
        <f>E31-D31</f>
        <v>-38959.5199999999</v>
      </c>
    </row>
    <row r="32" spans="1:7" ht="15">
      <c r="A32" s="34" t="s">
        <v>41</v>
      </c>
      <c r="B32" s="34" t="s">
        <v>43</v>
      </c>
      <c r="C32" s="236" t="s">
        <v>480</v>
      </c>
      <c r="D32" s="88">
        <v>2864175.73</v>
      </c>
      <c r="E32" s="88">
        <v>2762354.08</v>
      </c>
      <c r="F32" s="88">
        <f>D32</f>
        <v>2864175.73</v>
      </c>
      <c r="G32" s="88">
        <f>E32-D32</f>
        <v>-101821.6499999999</v>
      </c>
    </row>
    <row r="33" spans="1:9" s="106" customFormat="1" ht="7.5" customHeight="1" thickBot="1">
      <c r="A33" s="104"/>
      <c r="B33" s="104"/>
      <c r="C33" s="104"/>
      <c r="D33" s="105"/>
      <c r="E33" s="105"/>
      <c r="F33" s="105"/>
      <c r="G33" s="105"/>
      <c r="H33" s="105"/>
      <c r="I33" s="105"/>
    </row>
    <row r="34" spans="1:9" s="71" customFormat="1" ht="15.75" thickBot="1">
      <c r="A34" s="319" t="s">
        <v>420</v>
      </c>
      <c r="B34" s="320"/>
      <c r="C34" s="320"/>
      <c r="D34" s="69">
        <f>D12+D17+D23+D24+D25+D26+D27+D28-E17-E23-E24-E25-E26-E27-E28</f>
        <v>64620.10000000149</v>
      </c>
      <c r="E34" s="70"/>
      <c r="F34" s="70"/>
      <c r="G34" s="70"/>
      <c r="H34" s="66"/>
      <c r="I34" s="66"/>
    </row>
    <row r="35" spans="1:9" s="71" customFormat="1" ht="6" customHeight="1" thickBot="1">
      <c r="A35" s="72"/>
      <c r="B35" s="72"/>
      <c r="C35" s="72"/>
      <c r="D35" s="40"/>
      <c r="E35" s="70"/>
      <c r="F35" s="70"/>
      <c r="G35" s="70"/>
      <c r="H35" s="66"/>
      <c r="I35" s="66"/>
    </row>
    <row r="36" spans="1:11" s="71" customFormat="1" ht="15.75" thickBot="1">
      <c r="A36" s="67" t="s">
        <v>558</v>
      </c>
      <c r="B36" s="68"/>
      <c r="C36" s="68"/>
      <c r="D36" s="73"/>
      <c r="E36" s="74"/>
      <c r="F36" s="74"/>
      <c r="G36" s="151">
        <f>G14+E26-F26</f>
        <v>645919.1656</v>
      </c>
      <c r="H36" s="66"/>
      <c r="I36" s="66"/>
      <c r="K36" s="152"/>
    </row>
    <row r="37" spans="1:11" s="106" customFormat="1" ht="13.5">
      <c r="A37" s="108"/>
      <c r="B37" s="108"/>
      <c r="C37" s="108"/>
      <c r="D37" s="108"/>
      <c r="E37" s="105"/>
      <c r="F37" s="105"/>
      <c r="G37" s="105"/>
      <c r="H37" s="105"/>
      <c r="I37" s="105"/>
      <c r="J37" s="105"/>
      <c r="K37" s="105"/>
    </row>
    <row r="38" spans="1:11" ht="31.5" customHeight="1">
      <c r="A38" s="321" t="s">
        <v>196</v>
      </c>
      <c r="B38" s="453"/>
      <c r="C38" s="453"/>
      <c r="D38" s="453"/>
      <c r="E38" s="453"/>
      <c r="F38" s="453"/>
      <c r="G38" s="453"/>
      <c r="H38" s="62"/>
      <c r="I38" s="62"/>
      <c r="J38" s="62"/>
      <c r="K38" s="62"/>
    </row>
    <row r="39" spans="1:7" ht="12.75">
      <c r="A39" s="454"/>
      <c r="B39" s="454"/>
      <c r="C39" s="454"/>
      <c r="D39" s="454"/>
      <c r="E39" s="454"/>
      <c r="F39" s="454"/>
      <c r="G39" s="454"/>
    </row>
    <row r="40" spans="1:12" s="78" customFormat="1" ht="37.5" customHeight="1">
      <c r="A40" s="109" t="s">
        <v>11</v>
      </c>
      <c r="B40" s="340" t="s">
        <v>45</v>
      </c>
      <c r="C40" s="352"/>
      <c r="D40" s="109" t="s">
        <v>172</v>
      </c>
      <c r="E40" s="109" t="s">
        <v>171</v>
      </c>
      <c r="F40" s="340" t="s">
        <v>46</v>
      </c>
      <c r="G40" s="352"/>
      <c r="H40" s="268"/>
      <c r="I40" s="269"/>
      <c r="L40" s="112"/>
    </row>
    <row r="41" spans="1:12" s="119" customFormat="1" ht="15" customHeight="1">
      <c r="A41" s="113" t="s">
        <v>47</v>
      </c>
      <c r="B41" s="342" t="s">
        <v>114</v>
      </c>
      <c r="C41" s="345"/>
      <c r="D41" s="115"/>
      <c r="E41" s="115"/>
      <c r="F41" s="356">
        <f>SUM(F42:J53)</f>
        <v>66609.0918</v>
      </c>
      <c r="G41" s="351"/>
      <c r="H41" s="270"/>
      <c r="I41" s="271"/>
      <c r="L41" s="120"/>
    </row>
    <row r="42" spans="1:12" ht="15">
      <c r="A42" s="34" t="s">
        <v>16</v>
      </c>
      <c r="B42" s="325" t="s">
        <v>270</v>
      </c>
      <c r="C42" s="327"/>
      <c r="D42" s="123" t="s">
        <v>173</v>
      </c>
      <c r="E42" s="123">
        <v>1</v>
      </c>
      <c r="F42" s="366">
        <v>4920</v>
      </c>
      <c r="G42" s="367"/>
      <c r="H42" s="272"/>
      <c r="I42" s="273"/>
      <c r="L42" s="124"/>
    </row>
    <row r="43" spans="1:12" ht="15">
      <c r="A43" s="34" t="s">
        <v>18</v>
      </c>
      <c r="B43" s="425" t="s">
        <v>481</v>
      </c>
      <c r="C43" s="425"/>
      <c r="D43" s="123" t="s">
        <v>173</v>
      </c>
      <c r="E43" s="123">
        <v>1.5</v>
      </c>
      <c r="F43" s="355">
        <v>11520.59</v>
      </c>
      <c r="G43" s="355"/>
      <c r="H43" s="40"/>
      <c r="I43" s="40"/>
      <c r="L43" s="124"/>
    </row>
    <row r="44" spans="1:12" ht="15">
      <c r="A44" s="34" t="s">
        <v>20</v>
      </c>
      <c r="B44" s="325" t="s">
        <v>485</v>
      </c>
      <c r="C44" s="327"/>
      <c r="D44" s="123" t="s">
        <v>269</v>
      </c>
      <c r="E44" s="123">
        <v>0.06</v>
      </c>
      <c r="F44" s="366">
        <v>2743.96</v>
      </c>
      <c r="G44" s="367"/>
      <c r="H44" s="40"/>
      <c r="I44" s="40"/>
      <c r="L44" s="124"/>
    </row>
    <row r="45" spans="1:12" ht="69.75" customHeight="1">
      <c r="A45" s="276" t="s">
        <v>22</v>
      </c>
      <c r="B45" s="325" t="s">
        <v>655</v>
      </c>
      <c r="C45" s="430"/>
      <c r="D45" s="123"/>
      <c r="E45" s="123"/>
      <c r="F45" s="366">
        <v>6000</v>
      </c>
      <c r="G45" s="367"/>
      <c r="H45" s="40"/>
      <c r="I45" s="40"/>
      <c r="L45" s="124"/>
    </row>
    <row r="46" spans="1:11" s="71" customFormat="1" ht="29.25" customHeight="1">
      <c r="A46" s="34" t="s">
        <v>24</v>
      </c>
      <c r="B46" s="325" t="s">
        <v>658</v>
      </c>
      <c r="C46" s="430"/>
      <c r="D46" s="123" t="s">
        <v>173</v>
      </c>
      <c r="E46" s="123">
        <v>20</v>
      </c>
      <c r="F46" s="366">
        <v>7758.9</v>
      </c>
      <c r="G46" s="367"/>
      <c r="H46" s="63"/>
      <c r="I46" s="63"/>
      <c r="J46" s="63"/>
      <c r="K46" s="63"/>
    </row>
    <row r="47" spans="1:11" s="71" customFormat="1" ht="18" customHeight="1">
      <c r="A47" s="34" t="s">
        <v>106</v>
      </c>
      <c r="B47" s="325" t="s">
        <v>659</v>
      </c>
      <c r="C47" s="430"/>
      <c r="D47" s="123" t="s">
        <v>173</v>
      </c>
      <c r="E47" s="123">
        <v>20</v>
      </c>
      <c r="F47" s="366">
        <v>5204</v>
      </c>
      <c r="G47" s="367"/>
      <c r="H47" s="63"/>
      <c r="I47" s="63"/>
      <c r="J47" s="63"/>
      <c r="K47" s="63"/>
    </row>
    <row r="48" spans="1:11" s="71" customFormat="1" ht="18" customHeight="1">
      <c r="A48" s="34" t="s">
        <v>107</v>
      </c>
      <c r="B48" s="325" t="s">
        <v>717</v>
      </c>
      <c r="C48" s="430"/>
      <c r="D48" s="123" t="s">
        <v>173</v>
      </c>
      <c r="E48" s="123">
        <v>51</v>
      </c>
      <c r="F48" s="366">
        <v>3570</v>
      </c>
      <c r="G48" s="367"/>
      <c r="H48" s="63"/>
      <c r="I48" s="63"/>
      <c r="J48" s="63"/>
      <c r="K48" s="63"/>
    </row>
    <row r="49" spans="1:11" s="71" customFormat="1" ht="18" customHeight="1">
      <c r="A49" s="34" t="s">
        <v>120</v>
      </c>
      <c r="B49" s="325" t="s">
        <v>714</v>
      </c>
      <c r="C49" s="430"/>
      <c r="D49" s="123"/>
      <c r="E49" s="123"/>
      <c r="F49" s="366">
        <v>5000</v>
      </c>
      <c r="G49" s="367"/>
      <c r="H49" s="63"/>
      <c r="I49" s="63"/>
      <c r="J49" s="63"/>
      <c r="K49" s="63"/>
    </row>
    <row r="50" spans="1:11" s="71" customFormat="1" ht="18" customHeight="1">
      <c r="A50" s="34" t="s">
        <v>121</v>
      </c>
      <c r="B50" s="325" t="s">
        <v>718</v>
      </c>
      <c r="C50" s="430"/>
      <c r="D50" s="123"/>
      <c r="E50" s="123"/>
      <c r="F50" s="366">
        <v>3000</v>
      </c>
      <c r="G50" s="367"/>
      <c r="H50" s="63"/>
      <c r="I50" s="63"/>
      <c r="J50" s="63"/>
      <c r="K50" s="63"/>
    </row>
    <row r="51" spans="1:11" s="71" customFormat="1" ht="18" customHeight="1">
      <c r="A51" s="34" t="s">
        <v>122</v>
      </c>
      <c r="B51" s="325" t="s">
        <v>178</v>
      </c>
      <c r="C51" s="430"/>
      <c r="D51" s="123" t="s">
        <v>177</v>
      </c>
      <c r="E51" s="123">
        <v>50</v>
      </c>
      <c r="F51" s="388">
        <v>6268</v>
      </c>
      <c r="G51" s="389"/>
      <c r="H51" s="63"/>
      <c r="I51" s="63"/>
      <c r="J51" s="63"/>
      <c r="K51" s="63"/>
    </row>
    <row r="52" spans="1:11" s="71" customFormat="1" ht="18" customHeight="1">
      <c r="A52" s="34" t="s">
        <v>144</v>
      </c>
      <c r="B52" s="325" t="s">
        <v>719</v>
      </c>
      <c r="C52" s="430"/>
      <c r="D52" s="123"/>
      <c r="E52" s="123"/>
      <c r="F52" s="366">
        <v>4200</v>
      </c>
      <c r="G52" s="367"/>
      <c r="H52" s="63"/>
      <c r="I52" s="63"/>
      <c r="J52" s="63"/>
      <c r="K52" s="63"/>
    </row>
    <row r="53" spans="1:11" s="71" customFormat="1" ht="18.75" customHeight="1">
      <c r="A53" s="34" t="s">
        <v>147</v>
      </c>
      <c r="B53" s="364" t="s">
        <v>207</v>
      </c>
      <c r="C53" s="365"/>
      <c r="D53" s="129"/>
      <c r="E53" s="129"/>
      <c r="F53" s="355">
        <f>E26*1%</f>
        <v>6423.6418</v>
      </c>
      <c r="G53" s="355"/>
      <c r="H53" s="63"/>
      <c r="I53" s="63"/>
      <c r="J53" s="63"/>
      <c r="K53" s="63"/>
    </row>
    <row r="54" spans="1:11" s="71" customFormat="1" ht="27.75" customHeight="1">
      <c r="A54" s="41" t="s">
        <v>715</v>
      </c>
      <c r="B54" s="449" t="s">
        <v>203</v>
      </c>
      <c r="C54" s="450"/>
      <c r="D54" s="123"/>
      <c r="E54" s="123"/>
      <c r="F54" s="451">
        <f>F55</f>
        <v>150000</v>
      </c>
      <c r="G54" s="452"/>
      <c r="H54" s="63"/>
      <c r="I54" s="63"/>
      <c r="J54" s="63"/>
      <c r="K54" s="63"/>
    </row>
    <row r="55" spans="1:7" ht="15">
      <c r="A55" s="34"/>
      <c r="B55" s="325" t="s">
        <v>716</v>
      </c>
      <c r="C55" s="327"/>
      <c r="D55" s="129"/>
      <c r="E55" s="129"/>
      <c r="F55" s="366">
        <f>12500*12</f>
        <v>150000</v>
      </c>
      <c r="G55" s="367"/>
    </row>
    <row r="56" spans="1:7" ht="12.75">
      <c r="A56" s="63"/>
      <c r="B56" s="63"/>
      <c r="C56" s="63"/>
      <c r="D56" s="63"/>
      <c r="E56" s="63"/>
      <c r="F56" s="63"/>
      <c r="G56" s="63"/>
    </row>
    <row r="57" spans="1:7" ht="15">
      <c r="A57" s="71" t="s">
        <v>55</v>
      </c>
      <c r="B57" s="71"/>
      <c r="C57" s="131" t="s">
        <v>49</v>
      </c>
      <c r="D57" s="71"/>
      <c r="E57" s="71"/>
      <c r="F57" s="71" t="s">
        <v>93</v>
      </c>
      <c r="G57" s="71"/>
    </row>
    <row r="58" spans="1:7" ht="15">
      <c r="A58" s="71"/>
      <c r="B58" s="71"/>
      <c r="C58" s="131"/>
      <c r="D58" s="71"/>
      <c r="E58" s="71"/>
      <c r="F58" s="132" t="s">
        <v>296</v>
      </c>
      <c r="G58" s="71"/>
    </row>
    <row r="59" spans="1:7" ht="15">
      <c r="A59" s="71" t="s">
        <v>50</v>
      </c>
      <c r="B59" s="71"/>
      <c r="C59" s="131"/>
      <c r="D59" s="71"/>
      <c r="E59" s="71"/>
      <c r="F59" s="71"/>
      <c r="G59" s="71"/>
    </row>
    <row r="60" spans="1:7" ht="15">
      <c r="A60" s="71"/>
      <c r="B60" s="71"/>
      <c r="C60" s="133" t="s">
        <v>51</v>
      </c>
      <c r="D60" s="71"/>
      <c r="E60" s="134"/>
      <c r="F60" s="134"/>
      <c r="G60" s="134"/>
    </row>
  </sheetData>
  <sheetProtection/>
  <mergeCells count="42">
    <mergeCell ref="A1:K1"/>
    <mergeCell ref="A2:K2"/>
    <mergeCell ref="A3:K3"/>
    <mergeCell ref="A5:K5"/>
    <mergeCell ref="A9:K9"/>
    <mergeCell ref="A10:K10"/>
    <mergeCell ref="B41:C41"/>
    <mergeCell ref="F41:G41"/>
    <mergeCell ref="F47:G47"/>
    <mergeCell ref="F53:G53"/>
    <mergeCell ref="B55:C55"/>
    <mergeCell ref="F55:G55"/>
    <mergeCell ref="B45:C45"/>
    <mergeCell ref="F45:G45"/>
    <mergeCell ref="B46:C46"/>
    <mergeCell ref="F46:G46"/>
    <mergeCell ref="A11:K11"/>
    <mergeCell ref="A12:C12"/>
    <mergeCell ref="A34:C34"/>
    <mergeCell ref="B40:C40"/>
    <mergeCell ref="F40:G40"/>
    <mergeCell ref="A38:G39"/>
    <mergeCell ref="B42:C42"/>
    <mergeCell ref="F42:G42"/>
    <mergeCell ref="B43:C43"/>
    <mergeCell ref="F43:G43"/>
    <mergeCell ref="B44:C44"/>
    <mergeCell ref="F44:G44"/>
    <mergeCell ref="B47:C47"/>
    <mergeCell ref="B48:C48"/>
    <mergeCell ref="B49:C49"/>
    <mergeCell ref="B50:C50"/>
    <mergeCell ref="B51:C51"/>
    <mergeCell ref="B52:C52"/>
    <mergeCell ref="F48:G48"/>
    <mergeCell ref="F49:G49"/>
    <mergeCell ref="F50:G50"/>
    <mergeCell ref="F51:G51"/>
    <mergeCell ref="F52:G52"/>
    <mergeCell ref="B54:C54"/>
    <mergeCell ref="F54:G54"/>
    <mergeCell ref="B53:C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7030A0"/>
  </sheetPr>
  <dimension ref="A1:U67"/>
  <sheetViews>
    <sheetView zoomScale="98" zoomScaleNormal="98" zoomScalePageLayoutView="0" workbookViewId="0" topLeftCell="A3">
      <selection activeCell="G37" sqref="G37"/>
    </sheetView>
  </sheetViews>
  <sheetFormatPr defaultColWidth="9.140625" defaultRowHeight="15" outlineLevelCol="1"/>
  <cols>
    <col min="1" max="1" width="6.00390625" style="61" customWidth="1"/>
    <col min="2" max="2" width="47.140625" style="61" customWidth="1"/>
    <col min="3" max="3" width="10.00390625" style="61" customWidth="1"/>
    <col min="4" max="4" width="14.8515625" style="61" customWidth="1"/>
    <col min="5" max="5" width="13.28125" style="61" customWidth="1"/>
    <col min="6" max="6" width="13.7109375" style="61" customWidth="1"/>
    <col min="7" max="7" width="13.57421875" style="61" customWidth="1"/>
    <col min="8" max="9" width="11.57421875" style="61" hidden="1" customWidth="1" outlineLevel="1"/>
    <col min="10" max="10" width="10.140625" style="61" hidden="1" customWidth="1" outlineLevel="1"/>
    <col min="11" max="11" width="11.8515625" style="61" customWidth="1" collapsed="1"/>
    <col min="12" max="12" width="10.710937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518</v>
      </c>
      <c r="H7" s="64"/>
    </row>
    <row r="8" spans="1:9" s="63" customFormat="1" ht="12.75">
      <c r="A8" s="63" t="s">
        <v>3</v>
      </c>
      <c r="F8" s="64" t="s">
        <v>525</v>
      </c>
      <c r="H8" s="64">
        <v>45.7</v>
      </c>
      <c r="I8" s="65">
        <f>9080.2+45.7</f>
        <v>9125.900000000001</v>
      </c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673</v>
      </c>
      <c r="B12" s="320"/>
      <c r="C12" s="320"/>
      <c r="D12" s="51">
        <v>0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674</v>
      </c>
      <c r="B14" s="68"/>
      <c r="C14" s="68"/>
      <c r="D14" s="73"/>
      <c r="E14" s="74"/>
      <c r="F14" s="74"/>
      <c r="G14" s="75">
        <v>0</v>
      </c>
      <c r="H14" s="66"/>
      <c r="I14" s="66"/>
    </row>
    <row r="15" spans="1:9" s="71" customFormat="1" ht="15.75" thickBot="1">
      <c r="A15" s="67" t="s">
        <v>675</v>
      </c>
      <c r="B15" s="68"/>
      <c r="C15" s="68"/>
      <c r="D15" s="73"/>
      <c r="E15" s="74"/>
      <c r="F15" s="74"/>
      <c r="G15" s="75">
        <v>0</v>
      </c>
      <c r="H15" s="66"/>
      <c r="I15" s="66"/>
    </row>
    <row r="16" s="63" customFormat="1" ht="6.75" customHeight="1"/>
    <row r="17" spans="1:7" s="78" customFormat="1" ht="38.25">
      <c r="A17" s="76" t="s">
        <v>11</v>
      </c>
      <c r="B17" s="76" t="s">
        <v>12</v>
      </c>
      <c r="C17" s="76" t="s">
        <v>94</v>
      </c>
      <c r="D17" s="76" t="s">
        <v>283</v>
      </c>
      <c r="E17" s="76" t="s">
        <v>284</v>
      </c>
      <c r="F17" s="77" t="s">
        <v>376</v>
      </c>
      <c r="G17" s="76" t="s">
        <v>299</v>
      </c>
    </row>
    <row r="18" spans="1:14" s="63" customFormat="1" ht="28.5">
      <c r="A18" s="79" t="s">
        <v>14</v>
      </c>
      <c r="B18" s="41" t="s">
        <v>15</v>
      </c>
      <c r="C18" s="46">
        <f>C19+C20+C21+C22+C23</f>
        <v>13.469999999999999</v>
      </c>
      <c r="D18" s="80">
        <v>1225675.7</v>
      </c>
      <c r="E18" s="80">
        <v>1151570.48</v>
      </c>
      <c r="F18" s="80">
        <f aca="true" t="shared" si="0" ref="F18:F25">D18</f>
        <v>1225675.7</v>
      </c>
      <c r="G18" s="81">
        <f>E18-D18</f>
        <v>-74105.21999999997</v>
      </c>
      <c r="H18" s="82">
        <f aca="true" t="shared" si="1" ref="H18:H23">C18</f>
        <v>13.469999999999999</v>
      </c>
      <c r="I18" s="83"/>
      <c r="J18" s="83"/>
      <c r="K18" s="83"/>
      <c r="M18" s="82"/>
      <c r="N18" s="84"/>
    </row>
    <row r="19" spans="1:9" s="63" customFormat="1" ht="15">
      <c r="A19" s="85" t="s">
        <v>16</v>
      </c>
      <c r="B19" s="34" t="s">
        <v>17</v>
      </c>
      <c r="C19" s="86">
        <v>3.34</v>
      </c>
      <c r="D19" s="87">
        <f>D18*I19</f>
        <v>303916.61752041575</v>
      </c>
      <c r="E19" s="87">
        <f>E18*I19</f>
        <v>285541.60380103934</v>
      </c>
      <c r="F19" s="87">
        <f t="shared" si="0"/>
        <v>303916.61752041575</v>
      </c>
      <c r="G19" s="88">
        <f aca="true" t="shared" si="2" ref="G19:G28">E19-D19</f>
        <v>-18375.01371937641</v>
      </c>
      <c r="H19" s="82">
        <f t="shared" si="1"/>
        <v>3.34</v>
      </c>
      <c r="I19" s="63">
        <f>H19/H18</f>
        <v>0.24795842613214553</v>
      </c>
    </row>
    <row r="20" spans="1:9" s="63" customFormat="1" ht="15">
      <c r="A20" s="85" t="s">
        <v>18</v>
      </c>
      <c r="B20" s="34" t="s">
        <v>19</v>
      </c>
      <c r="C20" s="86">
        <v>1.63</v>
      </c>
      <c r="D20" s="87">
        <f>D18*I20</f>
        <v>148318.58878990347</v>
      </c>
      <c r="E20" s="87">
        <f>E18*I20</f>
        <v>139351.1419747587</v>
      </c>
      <c r="F20" s="87">
        <f t="shared" si="0"/>
        <v>148318.58878990347</v>
      </c>
      <c r="G20" s="88">
        <f t="shared" si="2"/>
        <v>-8967.446815144765</v>
      </c>
      <c r="H20" s="82">
        <f t="shared" si="1"/>
        <v>1.63</v>
      </c>
      <c r="I20" s="63">
        <f>H20/H18</f>
        <v>0.12100965107646622</v>
      </c>
    </row>
    <row r="21" spans="1:9" s="63" customFormat="1" ht="15">
      <c r="A21" s="85" t="s">
        <v>20</v>
      </c>
      <c r="B21" s="34" t="s">
        <v>21</v>
      </c>
      <c r="C21" s="86">
        <v>2.07</v>
      </c>
      <c r="D21" s="87">
        <f>D18*I21</f>
        <v>188355.50846325164</v>
      </c>
      <c r="E21" s="87">
        <f>E18*I21</f>
        <v>176967.40115812916</v>
      </c>
      <c r="F21" s="87">
        <f t="shared" si="0"/>
        <v>188355.50846325164</v>
      </c>
      <c r="G21" s="88">
        <f t="shared" si="2"/>
        <v>-11388.107305122481</v>
      </c>
      <c r="H21" s="82">
        <f t="shared" si="1"/>
        <v>2.07</v>
      </c>
      <c r="I21" s="63">
        <f>H21/H18</f>
        <v>0.15367483296213807</v>
      </c>
    </row>
    <row r="22" spans="1:9" s="63" customFormat="1" ht="15">
      <c r="A22" s="85" t="s">
        <v>22</v>
      </c>
      <c r="B22" s="34" t="s">
        <v>23</v>
      </c>
      <c r="C22" s="86">
        <v>2.93</v>
      </c>
      <c r="D22" s="87">
        <f>D18*I22</f>
        <v>266609.4878247959</v>
      </c>
      <c r="E22" s="87">
        <f>E18*I22</f>
        <v>250490.08956198965</v>
      </c>
      <c r="F22" s="87">
        <f t="shared" si="0"/>
        <v>266609.4878247959</v>
      </c>
      <c r="G22" s="88">
        <f t="shared" si="2"/>
        <v>-16119.398262806237</v>
      </c>
      <c r="H22" s="82">
        <f t="shared" si="1"/>
        <v>2.93</v>
      </c>
      <c r="I22" s="63">
        <f>H22/H18</f>
        <v>0.21752041573867859</v>
      </c>
    </row>
    <row r="23" spans="1:9" s="63" customFormat="1" ht="15">
      <c r="A23" s="85" t="s">
        <v>24</v>
      </c>
      <c r="B23" s="34" t="s">
        <v>197</v>
      </c>
      <c r="C23" s="89">
        <v>3.5</v>
      </c>
      <c r="D23" s="87">
        <f>D18*I23</f>
        <v>318475.49740163324</v>
      </c>
      <c r="E23" s="87">
        <f>E18*I23</f>
        <v>299220.24350408313</v>
      </c>
      <c r="F23" s="87">
        <f t="shared" si="0"/>
        <v>318475.49740163324</v>
      </c>
      <c r="G23" s="88">
        <f t="shared" si="2"/>
        <v>-19255.25389755011</v>
      </c>
      <c r="H23" s="82">
        <f t="shared" si="1"/>
        <v>3.5</v>
      </c>
      <c r="I23" s="63">
        <f>H23/H18</f>
        <v>0.25983667409057165</v>
      </c>
    </row>
    <row r="24" spans="1:11" s="93" customFormat="1" ht="14.25">
      <c r="A24" s="90" t="s">
        <v>25</v>
      </c>
      <c r="B24" s="90" t="s">
        <v>26</v>
      </c>
      <c r="C24" s="46">
        <v>3.72</v>
      </c>
      <c r="D24" s="91">
        <v>335382.49</v>
      </c>
      <c r="E24" s="91">
        <v>315300.28</v>
      </c>
      <c r="F24" s="91">
        <f t="shared" si="0"/>
        <v>335382.49</v>
      </c>
      <c r="G24" s="91">
        <f t="shared" si="2"/>
        <v>-20082.209999999963</v>
      </c>
      <c r="H24" s="92"/>
      <c r="I24" s="92"/>
      <c r="J24" s="92"/>
      <c r="K24" s="92"/>
    </row>
    <row r="25" spans="1:11" s="93" customFormat="1" ht="14.25">
      <c r="A25" s="90" t="s">
        <v>27</v>
      </c>
      <c r="B25" s="90" t="s">
        <v>28</v>
      </c>
      <c r="C25" s="46">
        <v>0</v>
      </c>
      <c r="D25" s="91">
        <v>0</v>
      </c>
      <c r="E25" s="91">
        <v>0</v>
      </c>
      <c r="F25" s="91">
        <f t="shared" si="0"/>
        <v>0</v>
      </c>
      <c r="G25" s="91">
        <v>0</v>
      </c>
      <c r="H25" s="92"/>
      <c r="I25" s="92"/>
      <c r="J25" s="92"/>
      <c r="K25" s="92"/>
    </row>
    <row r="26" spans="1:21" s="93" customFormat="1" ht="14.25">
      <c r="A26" s="90" t="s">
        <v>29</v>
      </c>
      <c r="B26" s="90" t="s">
        <v>689</v>
      </c>
      <c r="C26" s="46">
        <v>7.12</v>
      </c>
      <c r="D26" s="94">
        <v>644695.08</v>
      </c>
      <c r="E26" s="94">
        <v>606163.66</v>
      </c>
      <c r="F26" s="91">
        <f>F55</f>
        <v>718426</v>
      </c>
      <c r="G26" s="91">
        <f>E26-D26</f>
        <v>-38531.419999999925</v>
      </c>
      <c r="H26" s="92"/>
      <c r="I26" s="92"/>
      <c r="J26" s="92"/>
      <c r="K26" s="95"/>
      <c r="L26" s="95"/>
      <c r="M26" s="96"/>
      <c r="N26" s="462"/>
      <c r="O26" s="462"/>
      <c r="P26" s="98"/>
      <c r="Q26" s="98"/>
      <c r="R26" s="463"/>
      <c r="S26" s="463"/>
      <c r="T26" s="96"/>
      <c r="U26" s="96"/>
    </row>
    <row r="27" spans="1:12" s="93" customFormat="1" ht="14.25">
      <c r="A27" s="90" t="s">
        <v>31</v>
      </c>
      <c r="B27" s="90" t="s">
        <v>119</v>
      </c>
      <c r="C27" s="99">
        <v>1.99</v>
      </c>
      <c r="D27" s="91">
        <v>180785.14</v>
      </c>
      <c r="E27" s="91">
        <v>170015.8</v>
      </c>
      <c r="F27" s="91">
        <f>F43</f>
        <v>308128.138</v>
      </c>
      <c r="G27" s="91">
        <f>E27-D27</f>
        <v>-10769.340000000026</v>
      </c>
      <c r="H27" s="92"/>
      <c r="I27" s="92"/>
      <c r="J27" s="92"/>
      <c r="K27" s="100"/>
      <c r="L27" s="100"/>
    </row>
    <row r="28" spans="1:11" ht="14.25">
      <c r="A28" s="41" t="s">
        <v>33</v>
      </c>
      <c r="B28" s="41" t="s">
        <v>170</v>
      </c>
      <c r="C28" s="101">
        <v>39.62</v>
      </c>
      <c r="D28" s="81"/>
      <c r="E28" s="81"/>
      <c r="F28" s="91">
        <f>D28</f>
        <v>0</v>
      </c>
      <c r="G28" s="81">
        <f t="shared" si="2"/>
        <v>0</v>
      </c>
      <c r="H28" s="102"/>
      <c r="I28" s="102"/>
      <c r="J28" s="102"/>
      <c r="K28" s="102"/>
    </row>
    <row r="29" spans="1:11" ht="14.25">
      <c r="A29" s="41" t="s">
        <v>35</v>
      </c>
      <c r="B29" s="41" t="s">
        <v>36</v>
      </c>
      <c r="C29" s="101">
        <v>0</v>
      </c>
      <c r="D29" s="81">
        <f>SUM(D30:D33)</f>
        <v>2280504.12</v>
      </c>
      <c r="E29" s="81">
        <f>SUM(E30:E33)</f>
        <v>2185028.19</v>
      </c>
      <c r="F29" s="81">
        <f>SUM(F30:F33)</f>
        <v>2280504.12</v>
      </c>
      <c r="G29" s="81">
        <f>SUM(G30:G33)</f>
        <v>-95475.93000000011</v>
      </c>
      <c r="H29" s="102"/>
      <c r="I29" s="102"/>
      <c r="J29" s="102"/>
      <c r="K29" s="102"/>
    </row>
    <row r="30" spans="1:7" ht="15">
      <c r="A30" s="34" t="s">
        <v>37</v>
      </c>
      <c r="B30" s="34" t="s">
        <v>398</v>
      </c>
      <c r="C30" s="103" t="s">
        <v>323</v>
      </c>
      <c r="D30" s="88">
        <v>315528.73</v>
      </c>
      <c r="E30" s="88">
        <v>288555.69</v>
      </c>
      <c r="F30" s="88">
        <f>D30</f>
        <v>315528.73</v>
      </c>
      <c r="G30" s="88">
        <f>E30-D30</f>
        <v>-26973.03999999998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583773.99</v>
      </c>
      <c r="E31" s="88">
        <v>623067.57</v>
      </c>
      <c r="F31" s="88">
        <f>D31</f>
        <v>583773.99</v>
      </c>
      <c r="G31" s="88">
        <f>E31-D31</f>
        <v>39293.57999999996</v>
      </c>
    </row>
    <row r="32" spans="1:7" ht="26.25">
      <c r="A32" s="34" t="s">
        <v>42</v>
      </c>
      <c r="B32" s="34" t="s">
        <v>143</v>
      </c>
      <c r="C32" s="49" t="s">
        <v>399</v>
      </c>
      <c r="D32" s="88">
        <v>569988.55</v>
      </c>
      <c r="E32" s="88">
        <v>543792.95</v>
      </c>
      <c r="F32" s="88">
        <f>D32</f>
        <v>569988.55</v>
      </c>
      <c r="G32" s="88">
        <f>E32-D32</f>
        <v>-26195.600000000093</v>
      </c>
    </row>
    <row r="33" spans="1:11" ht="26.25">
      <c r="A33" s="34" t="s">
        <v>41</v>
      </c>
      <c r="B33" s="34" t="s">
        <v>43</v>
      </c>
      <c r="C33" s="49" t="s">
        <v>399</v>
      </c>
      <c r="D33" s="88">
        <v>811212.85</v>
      </c>
      <c r="E33" s="88">
        <v>729611.98</v>
      </c>
      <c r="F33" s="88">
        <f>D33</f>
        <v>811212.85</v>
      </c>
      <c r="G33" s="88">
        <f>E33-D33</f>
        <v>-81600.87</v>
      </c>
      <c r="K33" s="100"/>
    </row>
    <row r="34" spans="1:9" s="106" customFormat="1" ht="7.5" customHeight="1" thickBot="1">
      <c r="A34" s="104"/>
      <c r="B34" s="104"/>
      <c r="C34" s="104"/>
      <c r="D34" s="105"/>
      <c r="E34" s="105"/>
      <c r="F34" s="105"/>
      <c r="G34" s="105"/>
      <c r="H34" s="105"/>
      <c r="I34" s="105"/>
    </row>
    <row r="35" spans="1:9" s="71" customFormat="1" ht="15.75" thickBot="1">
      <c r="A35" s="319" t="s">
        <v>213</v>
      </c>
      <c r="B35" s="320"/>
      <c r="C35" s="320"/>
      <c r="D35" s="69">
        <f>D12+D18+D24+D25+D26+D27+D28+D29-E18-E24-E25-E26-E27-E28-E29</f>
        <v>238964.12000000058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11" s="71" customFormat="1" ht="15.75" thickBot="1">
      <c r="A37" s="67" t="s">
        <v>558</v>
      </c>
      <c r="B37" s="68"/>
      <c r="C37" s="68"/>
      <c r="D37" s="73"/>
      <c r="E37" s="74"/>
      <c r="F37" s="74"/>
      <c r="G37" s="75">
        <f>G14+E27-F27</f>
        <v>-138112.338</v>
      </c>
      <c r="H37" s="66"/>
      <c r="I37" s="66"/>
      <c r="K37" s="107"/>
    </row>
    <row r="38" spans="1:11" s="71" customFormat="1" ht="15.75" thickBot="1">
      <c r="A38" s="67" t="s">
        <v>575</v>
      </c>
      <c r="B38" s="67"/>
      <c r="C38" s="68"/>
      <c r="D38" s="73"/>
      <c r="E38" s="74"/>
      <c r="F38" s="74"/>
      <c r="G38" s="75">
        <f>G15+E26-F26</f>
        <v>-112262.33999999997</v>
      </c>
      <c r="H38" s="66"/>
      <c r="I38" s="66"/>
      <c r="K38" s="107"/>
    </row>
    <row r="39" spans="1:11" s="106" customFormat="1" ht="13.5">
      <c r="A39" s="108"/>
      <c r="B39" s="108"/>
      <c r="C39" s="108"/>
      <c r="D39" s="108"/>
      <c r="E39" s="105"/>
      <c r="F39" s="105"/>
      <c r="G39" s="105"/>
      <c r="H39" s="105"/>
      <c r="I39" s="105"/>
      <c r="J39" s="105"/>
      <c r="K39" s="105"/>
    </row>
    <row r="40" spans="1:11" ht="31.5" customHeight="1">
      <c r="A40" s="321" t="s">
        <v>196</v>
      </c>
      <c r="B40" s="349"/>
      <c r="C40" s="349"/>
      <c r="D40" s="349"/>
      <c r="E40" s="349"/>
      <c r="F40" s="349"/>
      <c r="G40" s="349"/>
      <c r="H40" s="66"/>
      <c r="I40" s="66"/>
      <c r="J40" s="66"/>
      <c r="K40" s="66"/>
    </row>
    <row r="42" spans="1:12" s="78" customFormat="1" ht="37.5" customHeight="1">
      <c r="A42" s="109" t="s">
        <v>11</v>
      </c>
      <c r="B42" s="340" t="s">
        <v>45</v>
      </c>
      <c r="C42" s="352"/>
      <c r="D42" s="109" t="s">
        <v>172</v>
      </c>
      <c r="E42" s="109" t="s">
        <v>171</v>
      </c>
      <c r="F42" s="426" t="s">
        <v>46</v>
      </c>
      <c r="G42" s="426"/>
      <c r="H42" s="110"/>
      <c r="I42" s="111"/>
      <c r="L42" s="112"/>
    </row>
    <row r="43" spans="1:12" s="119" customFormat="1" ht="15" customHeight="1">
      <c r="A43" s="113" t="s">
        <v>47</v>
      </c>
      <c r="B43" s="342" t="s">
        <v>114</v>
      </c>
      <c r="C43" s="345"/>
      <c r="D43" s="115"/>
      <c r="E43" s="115"/>
      <c r="F43" s="436">
        <f>SUM(F44:G54)</f>
        <v>308128.138</v>
      </c>
      <c r="G43" s="437"/>
      <c r="H43" s="117"/>
      <c r="I43" s="118"/>
      <c r="L43" s="120"/>
    </row>
    <row r="44" spans="1:12" ht="27" customHeight="1">
      <c r="A44" s="34" t="s">
        <v>16</v>
      </c>
      <c r="B44" s="325" t="s">
        <v>519</v>
      </c>
      <c r="C44" s="327"/>
      <c r="D44" s="123" t="s">
        <v>173</v>
      </c>
      <c r="E44" s="123">
        <v>2</v>
      </c>
      <c r="F44" s="366">
        <v>48050</v>
      </c>
      <c r="G44" s="367"/>
      <c r="H44" s="40"/>
      <c r="I44" s="40"/>
      <c r="L44" s="124"/>
    </row>
    <row r="45" spans="1:12" ht="27" customHeight="1">
      <c r="A45" s="34" t="s">
        <v>18</v>
      </c>
      <c r="B45" s="325" t="s">
        <v>734</v>
      </c>
      <c r="C45" s="327"/>
      <c r="D45" s="123" t="s">
        <v>269</v>
      </c>
      <c r="E45" s="123">
        <v>0.02</v>
      </c>
      <c r="F45" s="366">
        <v>5811</v>
      </c>
      <c r="G45" s="367"/>
      <c r="H45" s="40"/>
      <c r="I45" s="40"/>
      <c r="L45" s="124"/>
    </row>
    <row r="46" spans="1:12" ht="31.5" customHeight="1">
      <c r="A46" s="34" t="s">
        <v>20</v>
      </c>
      <c r="B46" s="325" t="s">
        <v>520</v>
      </c>
      <c r="C46" s="327"/>
      <c r="D46" s="123" t="s">
        <v>269</v>
      </c>
      <c r="E46" s="123">
        <v>0.02</v>
      </c>
      <c r="F46" s="355">
        <v>2203.75</v>
      </c>
      <c r="G46" s="355"/>
      <c r="H46" s="40"/>
      <c r="I46" s="40"/>
      <c r="L46" s="124"/>
    </row>
    <row r="47" spans="1:12" ht="15">
      <c r="A47" s="34" t="s">
        <v>22</v>
      </c>
      <c r="B47" s="325" t="s">
        <v>521</v>
      </c>
      <c r="C47" s="327"/>
      <c r="D47" s="123" t="s">
        <v>269</v>
      </c>
      <c r="E47" s="126">
        <v>0.06</v>
      </c>
      <c r="F47" s="355">
        <v>5232.23</v>
      </c>
      <c r="G47" s="355"/>
      <c r="H47" s="40"/>
      <c r="I47" s="40"/>
      <c r="L47" s="124"/>
    </row>
    <row r="48" spans="1:12" ht="15">
      <c r="A48" s="34" t="s">
        <v>24</v>
      </c>
      <c r="B48" s="325" t="s">
        <v>735</v>
      </c>
      <c r="C48" s="430"/>
      <c r="D48" s="123" t="s">
        <v>173</v>
      </c>
      <c r="E48" s="126">
        <v>1</v>
      </c>
      <c r="F48" s="355">
        <v>3170</v>
      </c>
      <c r="G48" s="355"/>
      <c r="H48" s="40"/>
      <c r="I48" s="40"/>
      <c r="L48" s="124"/>
    </row>
    <row r="49" spans="1:12" ht="15">
      <c r="A49" s="34" t="s">
        <v>106</v>
      </c>
      <c r="B49" s="325" t="s">
        <v>660</v>
      </c>
      <c r="C49" s="430"/>
      <c r="D49" s="158" t="s">
        <v>173</v>
      </c>
      <c r="E49" s="158">
        <v>10</v>
      </c>
      <c r="F49" s="457">
        <v>2920</v>
      </c>
      <c r="G49" s="458"/>
      <c r="H49" s="303"/>
      <c r="I49" s="303"/>
      <c r="L49" s="124"/>
    </row>
    <row r="50" spans="1:12" ht="15">
      <c r="A50" s="34" t="s">
        <v>107</v>
      </c>
      <c r="B50" s="325" t="s">
        <v>736</v>
      </c>
      <c r="C50" s="430"/>
      <c r="D50" s="158"/>
      <c r="E50" s="158"/>
      <c r="F50" s="457">
        <v>130000</v>
      </c>
      <c r="G50" s="458"/>
      <c r="H50" s="303"/>
      <c r="I50" s="303"/>
      <c r="L50" s="124"/>
    </row>
    <row r="51" spans="1:7" ht="15">
      <c r="A51" s="34" t="s">
        <v>120</v>
      </c>
      <c r="B51" s="325" t="s">
        <v>706</v>
      </c>
      <c r="C51" s="430"/>
      <c r="D51" s="129" t="s">
        <v>265</v>
      </c>
      <c r="E51" s="129">
        <v>0.37</v>
      </c>
      <c r="F51" s="355">
        <v>97241</v>
      </c>
      <c r="G51" s="355"/>
    </row>
    <row r="52" spans="1:7" ht="15">
      <c r="A52" s="34" t="s">
        <v>121</v>
      </c>
      <c r="B52" s="325" t="s">
        <v>737</v>
      </c>
      <c r="C52" s="430"/>
      <c r="D52" s="129"/>
      <c r="E52" s="129"/>
      <c r="F52" s="355">
        <v>2500</v>
      </c>
      <c r="G52" s="355"/>
    </row>
    <row r="53" spans="1:7" ht="15">
      <c r="A53" s="34" t="s">
        <v>122</v>
      </c>
      <c r="B53" s="325" t="s">
        <v>738</v>
      </c>
      <c r="C53" s="430"/>
      <c r="D53" s="129" t="s">
        <v>173</v>
      </c>
      <c r="E53" s="129">
        <v>18</v>
      </c>
      <c r="F53" s="355">
        <v>9300</v>
      </c>
      <c r="G53" s="355"/>
    </row>
    <row r="54" spans="1:7" ht="15">
      <c r="A54" s="34" t="s">
        <v>144</v>
      </c>
      <c r="B54" s="364" t="s">
        <v>207</v>
      </c>
      <c r="C54" s="365"/>
      <c r="D54" s="115"/>
      <c r="E54" s="115"/>
      <c r="F54" s="455">
        <f>E27*1%</f>
        <v>1700.158</v>
      </c>
      <c r="G54" s="456"/>
    </row>
    <row r="55" spans="1:7" ht="15">
      <c r="A55" s="113" t="s">
        <v>25</v>
      </c>
      <c r="B55" s="342" t="s">
        <v>664</v>
      </c>
      <c r="C55" s="345"/>
      <c r="D55" s="115"/>
      <c r="E55" s="115"/>
      <c r="F55" s="436">
        <f>SUM(F56:F62)</f>
        <v>718426</v>
      </c>
      <c r="G55" s="459"/>
    </row>
    <row r="56" spans="1:7" ht="15">
      <c r="A56" s="34" t="s">
        <v>708</v>
      </c>
      <c r="B56" s="460" t="s">
        <v>522</v>
      </c>
      <c r="C56" s="461"/>
      <c r="D56" s="130" t="s">
        <v>173</v>
      </c>
      <c r="E56" s="130">
        <v>2</v>
      </c>
      <c r="F56" s="388">
        <v>12066</v>
      </c>
      <c r="G56" s="389"/>
    </row>
    <row r="57" spans="1:7" ht="15" customHeight="1">
      <c r="A57" s="34" t="s">
        <v>709</v>
      </c>
      <c r="B57" s="325" t="s">
        <v>523</v>
      </c>
      <c r="C57" s="327"/>
      <c r="D57" s="123" t="s">
        <v>173</v>
      </c>
      <c r="E57" s="123">
        <v>1</v>
      </c>
      <c r="F57" s="355">
        <v>31350</v>
      </c>
      <c r="G57" s="355"/>
    </row>
    <row r="58" spans="1:7" ht="15">
      <c r="A58" s="34" t="s">
        <v>742</v>
      </c>
      <c r="B58" s="325" t="s">
        <v>524</v>
      </c>
      <c r="C58" s="327"/>
      <c r="D58" s="123" t="s">
        <v>173</v>
      </c>
      <c r="E58" s="123">
        <v>1</v>
      </c>
      <c r="F58" s="355">
        <v>24530</v>
      </c>
      <c r="G58" s="355"/>
    </row>
    <row r="59" spans="1:7" ht="15">
      <c r="A59" s="34" t="s">
        <v>743</v>
      </c>
      <c r="B59" s="325" t="s">
        <v>400</v>
      </c>
      <c r="C59" s="327"/>
      <c r="D59" s="123"/>
      <c r="E59" s="123"/>
      <c r="F59" s="355">
        <f>(42300*12)</f>
        <v>507600</v>
      </c>
      <c r="G59" s="355"/>
    </row>
    <row r="60" spans="1:7" ht="15">
      <c r="A60" s="34" t="s">
        <v>744</v>
      </c>
      <c r="B60" s="325" t="s">
        <v>739</v>
      </c>
      <c r="C60" s="327"/>
      <c r="D60" s="123"/>
      <c r="E60" s="123"/>
      <c r="F60" s="355">
        <v>6850</v>
      </c>
      <c r="G60" s="355"/>
    </row>
    <row r="61" spans="1:7" ht="15">
      <c r="A61" s="34" t="s">
        <v>745</v>
      </c>
      <c r="B61" s="325" t="s">
        <v>741</v>
      </c>
      <c r="C61" s="327"/>
      <c r="D61" s="123"/>
      <c r="E61" s="123"/>
      <c r="F61" s="355">
        <v>62730</v>
      </c>
      <c r="G61" s="355"/>
    </row>
    <row r="62" spans="1:7" ht="15">
      <c r="A62" s="34" t="s">
        <v>746</v>
      </c>
      <c r="B62" s="325" t="s">
        <v>740</v>
      </c>
      <c r="C62" s="327"/>
      <c r="D62" s="123"/>
      <c r="E62" s="123"/>
      <c r="F62" s="355">
        <v>73300</v>
      </c>
      <c r="G62" s="355"/>
    </row>
    <row r="63" spans="1:7" ht="15">
      <c r="A63" s="71" t="s">
        <v>55</v>
      </c>
      <c r="B63" s="63"/>
      <c r="C63" s="63"/>
      <c r="D63" s="71"/>
      <c r="E63" s="71"/>
      <c r="F63" s="71" t="s">
        <v>93</v>
      </c>
      <c r="G63" s="71"/>
    </row>
    <row r="64" spans="1:7" ht="15">
      <c r="A64" s="71"/>
      <c r="B64" s="71"/>
      <c r="C64" s="131" t="s">
        <v>49</v>
      </c>
      <c r="D64" s="71"/>
      <c r="E64" s="71"/>
      <c r="F64" s="132" t="s">
        <v>296</v>
      </c>
      <c r="G64" s="71"/>
    </row>
    <row r="65" spans="1:7" ht="15">
      <c r="A65" s="71" t="s">
        <v>50</v>
      </c>
      <c r="B65" s="71"/>
      <c r="C65" s="131"/>
      <c r="D65" s="71"/>
      <c r="E65" s="71"/>
      <c r="F65" s="71"/>
      <c r="G65" s="71"/>
    </row>
    <row r="66" spans="1:7" ht="15">
      <c r="A66" s="71"/>
      <c r="B66" s="71"/>
      <c r="C66" s="131"/>
      <c r="D66" s="71"/>
      <c r="E66" s="134"/>
      <c r="F66" s="134"/>
      <c r="G66" s="134"/>
    </row>
    <row r="67" spans="2:3" ht="15">
      <c r="B67" s="71"/>
      <c r="C67" s="133" t="s">
        <v>51</v>
      </c>
    </row>
  </sheetData>
  <sheetProtection/>
  <mergeCells count="54">
    <mergeCell ref="A1:K1"/>
    <mergeCell ref="A2:K2"/>
    <mergeCell ref="A3:K3"/>
    <mergeCell ref="A5:K5"/>
    <mergeCell ref="A9:K9"/>
    <mergeCell ref="A10:K10"/>
    <mergeCell ref="B46:C46"/>
    <mergeCell ref="F46:G46"/>
    <mergeCell ref="A11:K11"/>
    <mergeCell ref="A12:C12"/>
    <mergeCell ref="N26:O26"/>
    <mergeCell ref="R26:S26"/>
    <mergeCell ref="A35:C35"/>
    <mergeCell ref="A40:G40"/>
    <mergeCell ref="F56:G56"/>
    <mergeCell ref="B49:C49"/>
    <mergeCell ref="B52:C52"/>
    <mergeCell ref="B42:C42"/>
    <mergeCell ref="F42:G42"/>
    <mergeCell ref="B43:C43"/>
    <mergeCell ref="F43:G43"/>
    <mergeCell ref="B44:C44"/>
    <mergeCell ref="F44:G44"/>
    <mergeCell ref="F51:G51"/>
    <mergeCell ref="B61:C61"/>
    <mergeCell ref="F61:G61"/>
    <mergeCell ref="B60:C60"/>
    <mergeCell ref="F60:G60"/>
    <mergeCell ref="B47:C47"/>
    <mergeCell ref="F47:G47"/>
    <mergeCell ref="B50:C50"/>
    <mergeCell ref="B51:C51"/>
    <mergeCell ref="F57:G57"/>
    <mergeCell ref="B56:C56"/>
    <mergeCell ref="B62:C62"/>
    <mergeCell ref="F59:G59"/>
    <mergeCell ref="F49:G49"/>
    <mergeCell ref="F50:G50"/>
    <mergeCell ref="B55:C55"/>
    <mergeCell ref="F55:G55"/>
    <mergeCell ref="B59:C59"/>
    <mergeCell ref="F58:G58"/>
    <mergeCell ref="B54:C54"/>
    <mergeCell ref="F62:G62"/>
    <mergeCell ref="B53:C53"/>
    <mergeCell ref="F52:G52"/>
    <mergeCell ref="F53:G53"/>
    <mergeCell ref="B58:C58"/>
    <mergeCell ref="B45:C45"/>
    <mergeCell ref="F45:G45"/>
    <mergeCell ref="B48:C48"/>
    <mergeCell ref="F48:G48"/>
    <mergeCell ref="F54:G54"/>
    <mergeCell ref="B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M52"/>
  <sheetViews>
    <sheetView zoomScalePageLayoutView="0" workbookViewId="0" topLeftCell="A31">
      <selection activeCell="G39" sqref="G39"/>
    </sheetView>
  </sheetViews>
  <sheetFormatPr defaultColWidth="9.140625" defaultRowHeight="15" outlineLevelCol="1"/>
  <cols>
    <col min="1" max="1" width="4.7109375" style="35" customWidth="1"/>
    <col min="2" max="2" width="48.28125" style="35" customWidth="1"/>
    <col min="3" max="3" width="12.7109375" style="35" customWidth="1"/>
    <col min="4" max="4" width="13.57421875" style="35" customWidth="1"/>
    <col min="5" max="5" width="15.57421875" style="35" customWidth="1"/>
    <col min="6" max="6" width="12.140625" style="35" customWidth="1"/>
    <col min="7" max="7" width="13.7109375" style="35" customWidth="1"/>
    <col min="8" max="8" width="10.8515625" style="35" hidden="1" customWidth="1" outlineLevel="1"/>
    <col min="9" max="9" width="13.421875" style="35" hidden="1" customWidth="1" outlineLevel="1"/>
    <col min="10" max="12" width="9.140625" style="35" hidden="1" customWidth="1" outlineLevel="1"/>
    <col min="13" max="13" width="9.7109375" style="35" bestFit="1" customWidth="1" collapsed="1"/>
    <col min="14" max="16384" width="9.140625" style="35" customWidth="1"/>
  </cols>
  <sheetData>
    <row r="1" spans="1:9" ht="15">
      <c r="A1" s="333" t="s">
        <v>0</v>
      </c>
      <c r="B1" s="333"/>
      <c r="C1" s="333"/>
      <c r="D1" s="333"/>
      <c r="E1" s="333"/>
      <c r="F1" s="333"/>
      <c r="G1" s="333"/>
      <c r="H1" s="333"/>
      <c r="I1" s="333"/>
    </row>
    <row r="2" spans="1:9" ht="15">
      <c r="A2" s="333" t="s">
        <v>52</v>
      </c>
      <c r="B2" s="333"/>
      <c r="C2" s="333"/>
      <c r="D2" s="333"/>
      <c r="E2" s="333"/>
      <c r="F2" s="333"/>
      <c r="G2" s="333"/>
      <c r="H2" s="333"/>
      <c r="I2" s="333"/>
    </row>
    <row r="3" spans="1:11" ht="1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9" ht="12" customHeight="1">
      <c r="A4" s="165"/>
      <c r="B4" s="165"/>
      <c r="C4" s="165"/>
      <c r="D4" s="165"/>
      <c r="E4" s="165"/>
      <c r="F4" s="165"/>
      <c r="G4" s="165"/>
      <c r="H4" s="165"/>
      <c r="I4" s="165"/>
    </row>
    <row r="5" spans="1:9" ht="12" customHeight="1">
      <c r="A5" s="334" t="s">
        <v>1</v>
      </c>
      <c r="B5" s="333"/>
      <c r="C5" s="333"/>
      <c r="D5" s="333"/>
      <c r="E5" s="333"/>
      <c r="F5" s="333"/>
      <c r="G5" s="333"/>
      <c r="H5" s="333"/>
      <c r="I5" s="333"/>
    </row>
    <row r="7" spans="1:5" s="71" customFormat="1" ht="16.5" customHeight="1">
      <c r="A7" s="71" t="s">
        <v>2</v>
      </c>
      <c r="E7" s="132" t="s">
        <v>62</v>
      </c>
    </row>
    <row r="8" spans="1:5" s="71" customFormat="1" ht="15">
      <c r="A8" s="71" t="s">
        <v>3</v>
      </c>
      <c r="E8" s="132" t="s">
        <v>63</v>
      </c>
    </row>
    <row r="9" s="71" customFormat="1" ht="15"/>
    <row r="10" spans="1:9" s="71" customFormat="1" ht="15">
      <c r="A10" s="318" t="s">
        <v>8</v>
      </c>
      <c r="B10" s="318"/>
      <c r="C10" s="318"/>
      <c r="D10" s="318"/>
      <c r="E10" s="318"/>
      <c r="F10" s="318"/>
      <c r="G10" s="318"/>
      <c r="H10" s="318"/>
      <c r="I10" s="318"/>
    </row>
    <row r="11" spans="1:9" s="71" customFormat="1" ht="15">
      <c r="A11" s="318" t="s">
        <v>9</v>
      </c>
      <c r="B11" s="318"/>
      <c r="C11" s="318"/>
      <c r="D11" s="318"/>
      <c r="E11" s="318"/>
      <c r="F11" s="318"/>
      <c r="G11" s="318"/>
      <c r="H11" s="318"/>
      <c r="I11" s="318"/>
    </row>
    <row r="12" spans="1:9" s="71" customFormat="1" ht="15.75" thickBot="1">
      <c r="A12" s="318" t="s">
        <v>10</v>
      </c>
      <c r="B12" s="318"/>
      <c r="C12" s="318"/>
      <c r="D12" s="318"/>
      <c r="E12" s="318"/>
      <c r="F12" s="318"/>
      <c r="G12" s="318"/>
      <c r="H12" s="318"/>
      <c r="I12" s="318"/>
    </row>
    <row r="13" spans="1:9" s="71" customFormat="1" ht="16.5" customHeight="1" thickBot="1">
      <c r="A13" s="319" t="s">
        <v>419</v>
      </c>
      <c r="B13" s="320"/>
      <c r="C13" s="320"/>
      <c r="D13" s="50">
        <v>7991.16</v>
      </c>
      <c r="E13" s="70"/>
      <c r="F13" s="70"/>
      <c r="G13" s="70"/>
      <c r="H13" s="66"/>
      <c r="I13" s="66"/>
    </row>
    <row r="14" spans="1:9" s="71" customFormat="1" ht="6" customHeight="1" thickBot="1">
      <c r="A14" s="72"/>
      <c r="B14" s="72"/>
      <c r="C14" s="72"/>
      <c r="D14" s="40"/>
      <c r="E14" s="70"/>
      <c r="F14" s="70"/>
      <c r="G14" s="70"/>
      <c r="H14" s="66"/>
      <c r="I14" s="66"/>
    </row>
    <row r="15" spans="1:9" s="71" customFormat="1" ht="15.75" thickBot="1">
      <c r="A15" s="67" t="s">
        <v>594</v>
      </c>
      <c r="B15" s="68"/>
      <c r="C15" s="68"/>
      <c r="D15" s="73"/>
      <c r="E15" s="74"/>
      <c r="F15" s="74"/>
      <c r="G15" s="151">
        <f>'[1]Социалистическая 6 к.1'!$G$37</f>
        <v>23604.83</v>
      </c>
      <c r="H15" s="66"/>
      <c r="I15" s="66"/>
    </row>
    <row r="16" spans="1:9" s="71" customFormat="1" ht="15.75" thickBot="1">
      <c r="A16" s="67" t="s">
        <v>595</v>
      </c>
      <c r="B16" s="68"/>
      <c r="C16" s="68"/>
      <c r="D16" s="73"/>
      <c r="E16" s="74"/>
      <c r="F16" s="74"/>
      <c r="G16" s="151">
        <f>'[1]Социалистическая 6 к.1'!$G$38</f>
        <v>-87821.62469999999</v>
      </c>
      <c r="H16" s="66"/>
      <c r="I16" s="66"/>
    </row>
    <row r="17" s="71" customFormat="1" ht="9" customHeight="1"/>
    <row r="18" spans="1:7" s="78" customFormat="1" ht="38.25">
      <c r="A18" s="76" t="s">
        <v>11</v>
      </c>
      <c r="B18" s="76" t="s">
        <v>12</v>
      </c>
      <c r="C18" s="76" t="s">
        <v>94</v>
      </c>
      <c r="D18" s="76" t="s">
        <v>283</v>
      </c>
      <c r="E18" s="76" t="s">
        <v>284</v>
      </c>
      <c r="F18" s="77" t="s">
        <v>298</v>
      </c>
      <c r="G18" s="76" t="s">
        <v>299</v>
      </c>
    </row>
    <row r="19" spans="1:8" s="175" customFormat="1" ht="14.25">
      <c r="A19" s="79" t="s">
        <v>14</v>
      </c>
      <c r="B19" s="41" t="s">
        <v>15</v>
      </c>
      <c r="C19" s="141">
        <f>C20+C21+C22+C23</f>
        <v>9.969999999999999</v>
      </c>
      <c r="D19" s="80">
        <v>120274.32</v>
      </c>
      <c r="E19" s="80">
        <v>120642.35</v>
      </c>
      <c r="F19" s="80">
        <f>D19</f>
        <v>120274.32</v>
      </c>
      <c r="G19" s="81">
        <f aca="true" t="shared" si="0" ref="G19:G28">E19-D19</f>
        <v>368.02999999999884</v>
      </c>
      <c r="H19" s="142">
        <f>C19</f>
        <v>9.969999999999999</v>
      </c>
    </row>
    <row r="20" spans="1:9" s="71" customFormat="1" ht="14.25" customHeight="1">
      <c r="A20" s="85" t="s">
        <v>16</v>
      </c>
      <c r="B20" s="34" t="s">
        <v>17</v>
      </c>
      <c r="C20" s="103">
        <v>3.34</v>
      </c>
      <c r="D20" s="87">
        <f>D19*I20</f>
        <v>40292.500381143436</v>
      </c>
      <c r="E20" s="87">
        <f>E19*I20</f>
        <v>40415.79227683049</v>
      </c>
      <c r="F20" s="87">
        <f>D20</f>
        <v>40292.500381143436</v>
      </c>
      <c r="G20" s="88">
        <f t="shared" si="0"/>
        <v>123.29189568705624</v>
      </c>
      <c r="H20" s="82">
        <f>C20</f>
        <v>3.34</v>
      </c>
      <c r="I20" s="71">
        <f>H20/H19</f>
        <v>0.3350050150451354</v>
      </c>
    </row>
    <row r="21" spans="1:9" s="71" customFormat="1" ht="15">
      <c r="A21" s="85" t="s">
        <v>18</v>
      </c>
      <c r="B21" s="34" t="s">
        <v>19</v>
      </c>
      <c r="C21" s="103">
        <v>1.63</v>
      </c>
      <c r="D21" s="87">
        <f>D19*I21</f>
        <v>19663.705275827488</v>
      </c>
      <c r="E21" s="87">
        <f>E19*I21</f>
        <v>19723.87467402207</v>
      </c>
      <c r="F21" s="87">
        <f>D21</f>
        <v>19663.705275827488</v>
      </c>
      <c r="G21" s="88">
        <f t="shared" si="0"/>
        <v>60.169398194582755</v>
      </c>
      <c r="H21" s="82">
        <f>C21</f>
        <v>1.63</v>
      </c>
      <c r="I21" s="71">
        <f>H21/H19</f>
        <v>0.16349047141424275</v>
      </c>
    </row>
    <row r="22" spans="1:9" s="71" customFormat="1" ht="15">
      <c r="A22" s="85" t="s">
        <v>20</v>
      </c>
      <c r="B22" s="34" t="s">
        <v>21</v>
      </c>
      <c r="C22" s="103">
        <v>2.07</v>
      </c>
      <c r="D22" s="87">
        <f>D19*I22</f>
        <v>24971.699338014045</v>
      </c>
      <c r="E22" s="87">
        <f>E19*I22</f>
        <v>25048.110782347045</v>
      </c>
      <c r="F22" s="87">
        <f>D22</f>
        <v>24971.699338014045</v>
      </c>
      <c r="G22" s="88">
        <f t="shared" si="0"/>
        <v>76.41144433299996</v>
      </c>
      <c r="H22" s="82">
        <f>C22</f>
        <v>2.07</v>
      </c>
      <c r="I22" s="71">
        <f>H22/H19</f>
        <v>0.20762286860581747</v>
      </c>
    </row>
    <row r="23" spans="1:9" s="71" customFormat="1" ht="15">
      <c r="A23" s="85" t="s">
        <v>22</v>
      </c>
      <c r="B23" s="34" t="s">
        <v>23</v>
      </c>
      <c r="C23" s="103">
        <v>2.93</v>
      </c>
      <c r="D23" s="87">
        <f>D19*I23</f>
        <v>35346.41500501505</v>
      </c>
      <c r="E23" s="87">
        <f>E19*I23</f>
        <v>35454.57226680041</v>
      </c>
      <c r="F23" s="87">
        <f>D23</f>
        <v>35346.41500501505</v>
      </c>
      <c r="G23" s="88">
        <f t="shared" si="0"/>
        <v>108.15726178535988</v>
      </c>
      <c r="H23" s="82">
        <f>C23</f>
        <v>2.93</v>
      </c>
      <c r="I23" s="71">
        <f>H23/H19</f>
        <v>0.29388164493480445</v>
      </c>
    </row>
    <row r="24" spans="1:7" s="39" customFormat="1" ht="14.25">
      <c r="A24" s="41" t="s">
        <v>25</v>
      </c>
      <c r="B24" s="146" t="s">
        <v>26</v>
      </c>
      <c r="C24" s="147">
        <v>0</v>
      </c>
      <c r="D24" s="81">
        <v>0</v>
      </c>
      <c r="E24" s="81">
        <v>0</v>
      </c>
      <c r="F24" s="80">
        <f aca="true" t="shared" si="1" ref="F24:F33">D24</f>
        <v>0</v>
      </c>
      <c r="G24" s="81">
        <f t="shared" si="0"/>
        <v>0</v>
      </c>
    </row>
    <row r="25" spans="1:7" s="39" customFormat="1" ht="14.25">
      <c r="A25" s="41" t="s">
        <v>27</v>
      </c>
      <c r="B25" s="146" t="s">
        <v>28</v>
      </c>
      <c r="C25" s="147">
        <v>0</v>
      </c>
      <c r="D25" s="81">
        <v>0</v>
      </c>
      <c r="E25" s="81">
        <v>0</v>
      </c>
      <c r="F25" s="80">
        <f>D25</f>
        <v>0</v>
      </c>
      <c r="G25" s="81">
        <f t="shared" si="0"/>
        <v>0</v>
      </c>
    </row>
    <row r="26" spans="1:7" s="39" customFormat="1" ht="14.25">
      <c r="A26" s="41" t="s">
        <v>29</v>
      </c>
      <c r="B26" s="146" t="s">
        <v>170</v>
      </c>
      <c r="C26" s="147">
        <v>0</v>
      </c>
      <c r="D26" s="81">
        <v>0</v>
      </c>
      <c r="E26" s="81">
        <v>0</v>
      </c>
      <c r="F26" s="80">
        <f t="shared" si="1"/>
        <v>0</v>
      </c>
      <c r="G26" s="81">
        <f t="shared" si="0"/>
        <v>0</v>
      </c>
    </row>
    <row r="27" spans="1:13" s="39" customFormat="1" ht="14.25">
      <c r="A27" s="41" t="s">
        <v>31</v>
      </c>
      <c r="B27" s="146" t="s">
        <v>119</v>
      </c>
      <c r="C27" s="147">
        <v>1.99</v>
      </c>
      <c r="D27" s="81">
        <v>24006.72</v>
      </c>
      <c r="E27" s="81">
        <v>24082.19</v>
      </c>
      <c r="F27" s="80">
        <f>F45</f>
        <v>2760.8219</v>
      </c>
      <c r="G27" s="81">
        <f t="shared" si="0"/>
        <v>75.46999999999753</v>
      </c>
      <c r="M27" s="193"/>
    </row>
    <row r="28" spans="1:7" s="39" customFormat="1" ht="14.25">
      <c r="A28" s="41" t="s">
        <v>33</v>
      </c>
      <c r="B28" s="140" t="s">
        <v>34</v>
      </c>
      <c r="C28" s="141">
        <v>0</v>
      </c>
      <c r="D28" s="81">
        <v>0</v>
      </c>
      <c r="E28" s="81">
        <v>0</v>
      </c>
      <c r="F28" s="80">
        <f>D28</f>
        <v>0</v>
      </c>
      <c r="G28" s="81">
        <f t="shared" si="0"/>
        <v>0</v>
      </c>
    </row>
    <row r="29" spans="1:7" s="39" customFormat="1" ht="14.25">
      <c r="A29" s="41" t="s">
        <v>35</v>
      </c>
      <c r="B29" s="140" t="s">
        <v>36</v>
      </c>
      <c r="C29" s="141"/>
      <c r="D29" s="81">
        <f>SUM(D30:D33)</f>
        <v>427950.82999999996</v>
      </c>
      <c r="E29" s="81">
        <f>SUM(E30:E33)</f>
        <v>444935.07</v>
      </c>
      <c r="F29" s="80">
        <f t="shared" si="1"/>
        <v>427950.82999999996</v>
      </c>
      <c r="G29" s="81">
        <f>SUM(G30:G33)</f>
        <v>16984.240000000005</v>
      </c>
    </row>
    <row r="30" spans="1:7" ht="15">
      <c r="A30" s="34" t="s">
        <v>37</v>
      </c>
      <c r="B30" s="34" t="s">
        <v>174</v>
      </c>
      <c r="C30" s="103" t="s">
        <v>300</v>
      </c>
      <c r="D30" s="88">
        <v>1926.43</v>
      </c>
      <c r="E30" s="88">
        <v>1952.18</v>
      </c>
      <c r="F30" s="87">
        <f>D30</f>
        <v>1926.43</v>
      </c>
      <c r="G30" s="88">
        <f>E30-D30</f>
        <v>25.75</v>
      </c>
    </row>
    <row r="31" spans="1:7" ht="15">
      <c r="A31" s="34" t="s">
        <v>39</v>
      </c>
      <c r="B31" s="34" t="s">
        <v>142</v>
      </c>
      <c r="C31" s="103" t="s">
        <v>315</v>
      </c>
      <c r="D31" s="88">
        <v>78572.16</v>
      </c>
      <c r="E31" s="88">
        <v>82009.14</v>
      </c>
      <c r="F31" s="87">
        <f t="shared" si="1"/>
        <v>78572.16</v>
      </c>
      <c r="G31" s="88">
        <f>E31-D31</f>
        <v>3436.979999999996</v>
      </c>
    </row>
    <row r="32" spans="1:7" ht="15">
      <c r="A32" s="34" t="s">
        <v>42</v>
      </c>
      <c r="B32" s="34" t="s">
        <v>143</v>
      </c>
      <c r="C32" s="149" t="s">
        <v>382</v>
      </c>
      <c r="D32" s="88">
        <v>114895.44</v>
      </c>
      <c r="E32" s="88">
        <v>127499.25</v>
      </c>
      <c r="F32" s="87">
        <f t="shared" si="1"/>
        <v>114895.44</v>
      </c>
      <c r="G32" s="88">
        <f>E32-D32</f>
        <v>12603.809999999998</v>
      </c>
    </row>
    <row r="33" spans="1:7" ht="15">
      <c r="A33" s="34" t="s">
        <v>41</v>
      </c>
      <c r="B33" s="34" t="s">
        <v>43</v>
      </c>
      <c r="C33" s="103" t="s">
        <v>301</v>
      </c>
      <c r="D33" s="88">
        <v>232556.8</v>
      </c>
      <c r="E33" s="88">
        <v>233474.5</v>
      </c>
      <c r="F33" s="87">
        <f t="shared" si="1"/>
        <v>232556.8</v>
      </c>
      <c r="G33" s="88">
        <f>E33-D33</f>
        <v>917.7000000000116</v>
      </c>
    </row>
    <row r="34" spans="1:7" ht="26.25">
      <c r="A34" s="203" t="s">
        <v>639</v>
      </c>
      <c r="B34" s="204" t="s">
        <v>643</v>
      </c>
      <c r="C34" s="103"/>
      <c r="D34" s="88">
        <f>3000+2400+1200+19800+3600</f>
        <v>30000</v>
      </c>
      <c r="E34" s="88">
        <f>19450+3000+250+1540+1200+100+3170</f>
        <v>28710</v>
      </c>
      <c r="F34" s="87"/>
      <c r="G34" s="88">
        <f>E34-D34</f>
        <v>-1290</v>
      </c>
    </row>
    <row r="35" spans="1:10" s="106" customFormat="1" ht="9.75" customHeight="1" thickBot="1">
      <c r="A35" s="108"/>
      <c r="B35" s="108"/>
      <c r="C35" s="108"/>
      <c r="D35" s="105"/>
      <c r="E35" s="105"/>
      <c r="F35" s="105"/>
      <c r="G35" s="105"/>
      <c r="H35" s="105"/>
      <c r="I35" s="105"/>
      <c r="J35" s="105"/>
    </row>
    <row r="36" spans="1:9" s="71" customFormat="1" ht="15.75" thickBot="1">
      <c r="A36" s="319" t="s">
        <v>420</v>
      </c>
      <c r="B36" s="320"/>
      <c r="C36" s="320"/>
      <c r="D36" s="69">
        <f>D13+D19+D24+D25+D26+D27+D28+D29-E19-E24-E25-E26-E27-E28-E29</f>
        <v>-9436.579999999958</v>
      </c>
      <c r="E36" s="70"/>
      <c r="F36" s="70"/>
      <c r="G36" s="70"/>
      <c r="H36" s="66"/>
      <c r="I36" s="66"/>
    </row>
    <row r="37" spans="1:9" s="71" customFormat="1" ht="6" customHeight="1" thickBot="1">
      <c r="A37" s="72"/>
      <c r="B37" s="72"/>
      <c r="C37" s="72"/>
      <c r="D37" s="40"/>
      <c r="E37" s="70"/>
      <c r="F37" s="70"/>
      <c r="G37" s="70"/>
      <c r="H37" s="66"/>
      <c r="I37" s="66"/>
    </row>
    <row r="38" spans="1:9" s="71" customFormat="1" ht="15.75" thickBot="1">
      <c r="A38" s="67" t="s">
        <v>557</v>
      </c>
      <c r="B38" s="68"/>
      <c r="C38" s="68"/>
      <c r="D38" s="73"/>
      <c r="E38" s="74"/>
      <c r="F38" s="74"/>
      <c r="G38" s="151">
        <f>G15+E28-F28</f>
        <v>23604.83</v>
      </c>
      <c r="H38" s="66"/>
      <c r="I38" s="66"/>
    </row>
    <row r="39" spans="1:9" s="71" customFormat="1" ht="15.75" thickBot="1">
      <c r="A39" s="67" t="s">
        <v>558</v>
      </c>
      <c r="B39" s="68"/>
      <c r="C39" s="68"/>
      <c r="D39" s="73"/>
      <c r="E39" s="74"/>
      <c r="F39" s="74"/>
      <c r="G39" s="151">
        <f>G16+E27-F27</f>
        <v>-66500.25659999998</v>
      </c>
      <c r="H39" s="66"/>
      <c r="I39" s="66"/>
    </row>
    <row r="40" spans="1:9" s="71" customFormat="1" ht="15">
      <c r="A40" s="72"/>
      <c r="B40" s="72"/>
      <c r="C40" s="72"/>
      <c r="D40" s="40"/>
      <c r="E40" s="70"/>
      <c r="F40" s="70"/>
      <c r="G40" s="40"/>
      <c r="H40" s="66"/>
      <c r="I40" s="66"/>
    </row>
    <row r="41" spans="2:5" ht="7.5" customHeight="1">
      <c r="B41" s="162"/>
      <c r="C41" s="162"/>
      <c r="D41" s="162"/>
      <c r="E41" s="162"/>
    </row>
    <row r="42" spans="1:9" ht="24" customHeight="1">
      <c r="A42" s="321" t="s">
        <v>44</v>
      </c>
      <c r="B42" s="321"/>
      <c r="C42" s="321"/>
      <c r="D42" s="321"/>
      <c r="E42" s="321"/>
      <c r="F42" s="321"/>
      <c r="G42" s="321"/>
      <c r="H42" s="321"/>
      <c r="I42" s="321"/>
    </row>
    <row r="44" spans="1:7" s="179" customFormat="1" ht="28.5" customHeight="1">
      <c r="A44" s="109" t="s">
        <v>11</v>
      </c>
      <c r="B44" s="340" t="s">
        <v>45</v>
      </c>
      <c r="C44" s="352"/>
      <c r="D44" s="109" t="s">
        <v>172</v>
      </c>
      <c r="E44" s="109" t="s">
        <v>171</v>
      </c>
      <c r="F44" s="340" t="s">
        <v>46</v>
      </c>
      <c r="G44" s="351"/>
    </row>
    <row r="45" spans="1:7" s="119" customFormat="1" ht="13.5" customHeight="1">
      <c r="A45" s="113" t="s">
        <v>47</v>
      </c>
      <c r="B45" s="342" t="s">
        <v>114</v>
      </c>
      <c r="C45" s="345"/>
      <c r="D45" s="180"/>
      <c r="E45" s="180"/>
      <c r="F45" s="356">
        <f>SUM(F46:G47)</f>
        <v>2760.8219</v>
      </c>
      <c r="G45" s="351"/>
    </row>
    <row r="46" spans="1:7" ht="13.5" customHeight="1">
      <c r="A46" s="34" t="s">
        <v>16</v>
      </c>
      <c r="B46" s="325" t="s">
        <v>663</v>
      </c>
      <c r="C46" s="350"/>
      <c r="D46" s="158"/>
      <c r="E46" s="159" t="s">
        <v>286</v>
      </c>
      <c r="F46" s="344">
        <v>2520</v>
      </c>
      <c r="G46" s="344"/>
    </row>
    <row r="47" spans="1:7" ht="13.5" customHeight="1">
      <c r="A47" s="34" t="s">
        <v>18</v>
      </c>
      <c r="B47" s="364" t="s">
        <v>207</v>
      </c>
      <c r="C47" s="365"/>
      <c r="D47" s="202"/>
      <c r="E47" s="202"/>
      <c r="F47" s="355">
        <f>E27*1%</f>
        <v>240.8219</v>
      </c>
      <c r="G47" s="355"/>
    </row>
    <row r="48" s="71" customFormat="1" ht="15"/>
    <row r="49" spans="1:6" s="71" customFormat="1" ht="15">
      <c r="A49" s="71" t="s">
        <v>55</v>
      </c>
      <c r="C49" s="71" t="s">
        <v>49</v>
      </c>
      <c r="F49" s="71" t="s">
        <v>93</v>
      </c>
    </row>
    <row r="50" s="71" customFormat="1" ht="13.5" customHeight="1">
      <c r="F50" s="132" t="s">
        <v>296</v>
      </c>
    </row>
    <row r="51" s="71" customFormat="1" ht="15">
      <c r="A51" s="71" t="s">
        <v>50</v>
      </c>
    </row>
    <row r="52" spans="3:7" s="71" customFormat="1" ht="15">
      <c r="C52" s="134" t="s">
        <v>51</v>
      </c>
      <c r="E52" s="134"/>
      <c r="F52" s="134"/>
      <c r="G52" s="134"/>
    </row>
    <row r="53" s="71" customFormat="1" ht="15"/>
  </sheetData>
  <sheetProtection/>
  <mergeCells count="18">
    <mergeCell ref="F45:G45"/>
    <mergeCell ref="F46:G46"/>
    <mergeCell ref="A42:I42"/>
    <mergeCell ref="F47:G47"/>
    <mergeCell ref="F44:G44"/>
    <mergeCell ref="B44:C44"/>
    <mergeCell ref="B45:C45"/>
    <mergeCell ref="B47:C47"/>
    <mergeCell ref="A11:I11"/>
    <mergeCell ref="B46:C46"/>
    <mergeCell ref="A1:I1"/>
    <mergeCell ref="A2:I2"/>
    <mergeCell ref="A5:I5"/>
    <mergeCell ref="A10:I10"/>
    <mergeCell ref="A3:K3"/>
    <mergeCell ref="A13:C13"/>
    <mergeCell ref="A12:I12"/>
    <mergeCell ref="A36:C36"/>
  </mergeCells>
  <printOptions/>
  <pageMargins left="0" right="0" top="0" bottom="0" header="0.31496062992125984" footer="0.31496062992125984"/>
  <pageSetup horizontalDpi="600" verticalDpi="600" orientation="portrait" paperSize="9" scale="95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7030A0"/>
  </sheetPr>
  <dimension ref="A1:U63"/>
  <sheetViews>
    <sheetView zoomScale="98" zoomScaleNormal="98" zoomScalePageLayoutView="0" workbookViewId="0" topLeftCell="A6">
      <selection activeCell="G38" sqref="G38"/>
    </sheetView>
  </sheetViews>
  <sheetFormatPr defaultColWidth="9.140625" defaultRowHeight="15" outlineLevelCol="1"/>
  <cols>
    <col min="1" max="1" width="6.00390625" style="61" customWidth="1"/>
    <col min="2" max="2" width="47.140625" style="61" customWidth="1"/>
    <col min="3" max="3" width="10.00390625" style="61" customWidth="1"/>
    <col min="4" max="4" width="14.8515625" style="61" customWidth="1"/>
    <col min="5" max="5" width="13.28125" style="61" customWidth="1"/>
    <col min="6" max="6" width="13.7109375" style="61" customWidth="1"/>
    <col min="7" max="7" width="13.57421875" style="61" customWidth="1"/>
    <col min="8" max="9" width="11.57421875" style="61" hidden="1" customWidth="1" outlineLevel="1"/>
    <col min="10" max="10" width="10.140625" style="61" hidden="1" customWidth="1" outlineLevel="1"/>
    <col min="11" max="11" width="11.8515625" style="61" customWidth="1" collapsed="1"/>
    <col min="12" max="12" width="10.710937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204</v>
      </c>
      <c r="H7" s="64"/>
    </row>
    <row r="8" spans="1:8" s="63" customFormat="1" ht="12.75">
      <c r="A8" s="63" t="s">
        <v>3</v>
      </c>
      <c r="F8" s="64" t="s">
        <v>205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253332.38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75">
        <f>'[1]Грабцевское шоссе 132 корп.1'!$G$36</f>
        <v>437050.3691</v>
      </c>
      <c r="H14" s="66"/>
      <c r="I14" s="66"/>
    </row>
    <row r="15" spans="1:9" s="71" customFormat="1" ht="15.75" thickBot="1">
      <c r="A15" s="67" t="s">
        <v>573</v>
      </c>
      <c r="B15" s="68"/>
      <c r="C15" s="68"/>
      <c r="D15" s="73"/>
      <c r="E15" s="74"/>
      <c r="F15" s="74"/>
      <c r="G15" s="75">
        <f>250648.69+58147.98</f>
        <v>308796.67</v>
      </c>
      <c r="H15" s="66"/>
      <c r="I15" s="66"/>
    </row>
    <row r="16" s="63" customFormat="1" ht="6.75" customHeight="1"/>
    <row r="17" spans="1:7" s="78" customFormat="1" ht="38.25">
      <c r="A17" s="76" t="s">
        <v>11</v>
      </c>
      <c r="B17" s="76" t="s">
        <v>12</v>
      </c>
      <c r="C17" s="76" t="s">
        <v>94</v>
      </c>
      <c r="D17" s="76" t="s">
        <v>283</v>
      </c>
      <c r="E17" s="76" t="s">
        <v>284</v>
      </c>
      <c r="F17" s="77" t="s">
        <v>376</v>
      </c>
      <c r="G17" s="76" t="s">
        <v>299</v>
      </c>
    </row>
    <row r="18" spans="1:14" s="63" customFormat="1" ht="28.5">
      <c r="A18" s="79" t="s">
        <v>14</v>
      </c>
      <c r="B18" s="41" t="s">
        <v>15</v>
      </c>
      <c r="C18" s="46">
        <f>C19+C20+C21+C22+C23</f>
        <v>12.09</v>
      </c>
      <c r="D18" s="80">
        <v>1332089.42</v>
      </c>
      <c r="E18" s="80">
        <v>1317223.97</v>
      </c>
      <c r="F18" s="80">
        <f aca="true" t="shared" si="0" ref="F18:F25">D18</f>
        <v>1332089.42</v>
      </c>
      <c r="G18" s="81">
        <f>E18-D18</f>
        <v>-14865.449999999953</v>
      </c>
      <c r="H18" s="82">
        <f aca="true" t="shared" si="1" ref="H18:H23">C18</f>
        <v>12.09</v>
      </c>
      <c r="I18" s="83"/>
      <c r="J18" s="83"/>
      <c r="K18" s="83"/>
      <c r="M18" s="82"/>
      <c r="N18" s="84"/>
    </row>
    <row r="19" spans="1:9" s="63" customFormat="1" ht="15">
      <c r="A19" s="85" t="s">
        <v>16</v>
      </c>
      <c r="B19" s="34" t="s">
        <v>17</v>
      </c>
      <c r="C19" s="86">
        <v>3.34</v>
      </c>
      <c r="D19" s="87">
        <f>D18*I19</f>
        <v>368004.8521753515</v>
      </c>
      <c r="E19" s="87">
        <f>E18*I19</f>
        <v>363898.10254755995</v>
      </c>
      <c r="F19" s="87">
        <f t="shared" si="0"/>
        <v>368004.8521753515</v>
      </c>
      <c r="G19" s="88">
        <f aca="true" t="shared" si="2" ref="G19:G29">E19-D19</f>
        <v>-4106.749627791578</v>
      </c>
      <c r="H19" s="82">
        <f t="shared" si="1"/>
        <v>3.34</v>
      </c>
      <c r="I19" s="63">
        <f>H19/H18</f>
        <v>0.2762613730355666</v>
      </c>
    </row>
    <row r="20" spans="1:9" s="63" customFormat="1" ht="15">
      <c r="A20" s="85" t="s">
        <v>18</v>
      </c>
      <c r="B20" s="34" t="s">
        <v>19</v>
      </c>
      <c r="C20" s="86">
        <v>1.63</v>
      </c>
      <c r="D20" s="87">
        <f>D18*I20</f>
        <v>179595.1823490488</v>
      </c>
      <c r="E20" s="87">
        <f>E18*I20</f>
        <v>177590.99016542596</v>
      </c>
      <c r="F20" s="87">
        <f t="shared" si="0"/>
        <v>179595.1823490488</v>
      </c>
      <c r="G20" s="88">
        <f t="shared" si="2"/>
        <v>-2004.1921836228285</v>
      </c>
      <c r="H20" s="82">
        <f t="shared" si="1"/>
        <v>1.63</v>
      </c>
      <c r="I20" s="63">
        <f>H20/H18</f>
        <v>0.1348221670802316</v>
      </c>
    </row>
    <row r="21" spans="1:9" s="63" customFormat="1" ht="15">
      <c r="A21" s="85" t="s">
        <v>20</v>
      </c>
      <c r="B21" s="34" t="s">
        <v>21</v>
      </c>
      <c r="C21" s="86">
        <v>2.07</v>
      </c>
      <c r="D21" s="87">
        <f>D18*I21</f>
        <v>228074.86347394536</v>
      </c>
      <c r="E21" s="87">
        <f>E18*I21</f>
        <v>225529.66235732008</v>
      </c>
      <c r="F21" s="87">
        <f t="shared" si="0"/>
        <v>228074.86347394536</v>
      </c>
      <c r="G21" s="88">
        <f t="shared" si="2"/>
        <v>-2545.201116625278</v>
      </c>
      <c r="H21" s="82">
        <f t="shared" si="1"/>
        <v>2.07</v>
      </c>
      <c r="I21" s="63">
        <f>H21/H18</f>
        <v>0.17121588089330023</v>
      </c>
    </row>
    <row r="22" spans="1:9" s="63" customFormat="1" ht="15">
      <c r="A22" s="85" t="s">
        <v>22</v>
      </c>
      <c r="B22" s="34" t="s">
        <v>23</v>
      </c>
      <c r="C22" s="86">
        <v>2.93</v>
      </c>
      <c r="D22" s="87">
        <f>D18*I22</f>
        <v>322830.60385442514</v>
      </c>
      <c r="E22" s="87">
        <f>E18*I22</f>
        <v>319227.97618693137</v>
      </c>
      <c r="F22" s="87">
        <f t="shared" si="0"/>
        <v>322830.60385442514</v>
      </c>
      <c r="G22" s="88">
        <f t="shared" si="2"/>
        <v>-3602.627667493769</v>
      </c>
      <c r="H22" s="82">
        <f t="shared" si="1"/>
        <v>2.93</v>
      </c>
      <c r="I22" s="63">
        <f>H22/H18</f>
        <v>0.24234904880066171</v>
      </c>
    </row>
    <row r="23" spans="1:9" s="63" customFormat="1" ht="15">
      <c r="A23" s="85" t="s">
        <v>24</v>
      </c>
      <c r="B23" s="34" t="s">
        <v>197</v>
      </c>
      <c r="C23" s="89">
        <v>2.12</v>
      </c>
      <c r="D23" s="87">
        <f>D18*I23</f>
        <v>233583.91814722912</v>
      </c>
      <c r="E23" s="87">
        <f>E18*I23</f>
        <v>230977.23874276262</v>
      </c>
      <c r="F23" s="87">
        <f t="shared" si="0"/>
        <v>233583.91814722912</v>
      </c>
      <c r="G23" s="88">
        <f t="shared" si="2"/>
        <v>-2606.6794044665003</v>
      </c>
      <c r="H23" s="82">
        <f t="shared" si="1"/>
        <v>2.12</v>
      </c>
      <c r="I23" s="63">
        <f>H23/H18</f>
        <v>0.17535153019023988</v>
      </c>
    </row>
    <row r="24" spans="1:11" s="93" customFormat="1" ht="14.25">
      <c r="A24" s="90" t="s">
        <v>25</v>
      </c>
      <c r="B24" s="90" t="s">
        <v>26</v>
      </c>
      <c r="C24" s="46">
        <v>3.72</v>
      </c>
      <c r="D24" s="91">
        <v>408613.84</v>
      </c>
      <c r="E24" s="91">
        <v>404824.33</v>
      </c>
      <c r="F24" s="91">
        <f t="shared" si="0"/>
        <v>408613.84</v>
      </c>
      <c r="G24" s="91">
        <f t="shared" si="2"/>
        <v>-3789.5100000000093</v>
      </c>
      <c r="H24" s="92"/>
      <c r="I24" s="92"/>
      <c r="J24" s="92"/>
      <c r="K24" s="92"/>
    </row>
    <row r="25" spans="1:11" s="93" customFormat="1" ht="14.25">
      <c r="A25" s="90" t="s">
        <v>27</v>
      </c>
      <c r="B25" s="90" t="s">
        <v>28</v>
      </c>
      <c r="C25" s="46">
        <v>0</v>
      </c>
      <c r="D25" s="91">
        <v>0</v>
      </c>
      <c r="E25" s="91">
        <v>0</v>
      </c>
      <c r="F25" s="91">
        <f t="shared" si="0"/>
        <v>0</v>
      </c>
      <c r="G25" s="91">
        <v>0</v>
      </c>
      <c r="H25" s="92"/>
      <c r="I25" s="92"/>
      <c r="J25" s="92"/>
      <c r="K25" s="92"/>
    </row>
    <row r="26" spans="1:21" s="93" customFormat="1" ht="14.25">
      <c r="A26" s="90" t="s">
        <v>29</v>
      </c>
      <c r="B26" s="90" t="s">
        <v>236</v>
      </c>
      <c r="C26" s="46">
        <v>7.12</v>
      </c>
      <c r="D26" s="94">
        <f>969984.6-D29</f>
        <v>784106.6</v>
      </c>
      <c r="E26" s="94">
        <f>960468.33-E29</f>
        <v>776413.893409329</v>
      </c>
      <c r="F26" s="91">
        <f>F53</f>
        <v>713412.5</v>
      </c>
      <c r="G26" s="94">
        <f>E26-D26</f>
        <v>-7692.706590670976</v>
      </c>
      <c r="H26" s="92"/>
      <c r="I26" s="61"/>
      <c r="J26" s="92"/>
      <c r="K26" s="95"/>
      <c r="L26" s="61"/>
      <c r="M26" s="96"/>
      <c r="N26" s="462"/>
      <c r="O26" s="462"/>
      <c r="P26" s="98"/>
      <c r="Q26" s="98"/>
      <c r="R26" s="463"/>
      <c r="S26" s="463"/>
      <c r="T26" s="96"/>
      <c r="U26" s="96"/>
    </row>
    <row r="27" spans="1:12" s="93" customFormat="1" ht="14.25">
      <c r="A27" s="90" t="s">
        <v>31</v>
      </c>
      <c r="B27" s="90" t="s">
        <v>119</v>
      </c>
      <c r="C27" s="99">
        <v>1.99</v>
      </c>
      <c r="D27" s="91">
        <v>218760.98</v>
      </c>
      <c r="E27" s="91">
        <v>216750.02</v>
      </c>
      <c r="F27" s="91">
        <f>F44</f>
        <v>314690.0002</v>
      </c>
      <c r="G27" s="91">
        <f>E27-D27</f>
        <v>-2010.960000000021</v>
      </c>
      <c r="H27" s="92"/>
      <c r="I27" s="100"/>
      <c r="J27" s="92"/>
      <c r="K27" s="100"/>
      <c r="L27" s="100"/>
    </row>
    <row r="28" spans="1:11" ht="14.25">
      <c r="A28" s="41" t="s">
        <v>33</v>
      </c>
      <c r="B28" s="41" t="s">
        <v>170</v>
      </c>
      <c r="C28" s="101">
        <v>39.62</v>
      </c>
      <c r="D28" s="81">
        <v>0</v>
      </c>
      <c r="E28" s="81">
        <v>0</v>
      </c>
      <c r="F28" s="91">
        <f>D28</f>
        <v>0</v>
      </c>
      <c r="G28" s="81">
        <f t="shared" si="2"/>
        <v>0</v>
      </c>
      <c r="H28" s="102"/>
      <c r="J28" s="102"/>
      <c r="K28" s="102"/>
    </row>
    <row r="29" spans="1:11" ht="14.25">
      <c r="A29" s="41" t="s">
        <v>35</v>
      </c>
      <c r="B29" s="41" t="s">
        <v>574</v>
      </c>
      <c r="C29" s="101">
        <v>1290.82</v>
      </c>
      <c r="D29" s="81">
        <v>185878</v>
      </c>
      <c r="E29" s="81">
        <f>960468.33/969984.4*D29</f>
        <v>184054.43659067093</v>
      </c>
      <c r="F29" s="80">
        <f>D29</f>
        <v>185878</v>
      </c>
      <c r="G29" s="81">
        <f t="shared" si="2"/>
        <v>-1823.5634093290719</v>
      </c>
      <c r="H29" s="102"/>
      <c r="J29" s="102"/>
      <c r="K29" s="102"/>
    </row>
    <row r="30" spans="1:11" ht="14.25">
      <c r="A30" s="41" t="s">
        <v>230</v>
      </c>
      <c r="B30" s="41" t="s">
        <v>36</v>
      </c>
      <c r="C30" s="101">
        <v>0</v>
      </c>
      <c r="D30" s="81">
        <f>SUM(D31:D34)</f>
        <v>2543002.9400000004</v>
      </c>
      <c r="E30" s="81">
        <f>SUM(E31:E34)</f>
        <v>2577016.52</v>
      </c>
      <c r="F30" s="81">
        <f>SUM(F31:F34)</f>
        <v>2543002.9400000004</v>
      </c>
      <c r="G30" s="81">
        <f>SUM(G31:G34)</f>
        <v>34013.57999999999</v>
      </c>
      <c r="H30" s="102"/>
      <c r="I30" s="102"/>
      <c r="J30" s="102"/>
      <c r="K30" s="102"/>
    </row>
    <row r="31" spans="1:7" ht="15">
      <c r="A31" s="34" t="s">
        <v>232</v>
      </c>
      <c r="B31" s="34" t="s">
        <v>398</v>
      </c>
      <c r="C31" s="103" t="s">
        <v>300</v>
      </c>
      <c r="D31" s="88">
        <v>217405.17</v>
      </c>
      <c r="E31" s="88">
        <v>216991.99</v>
      </c>
      <c r="F31" s="88">
        <f>D31</f>
        <v>217405.17</v>
      </c>
      <c r="G31" s="88">
        <f>E31-D31</f>
        <v>-413.1800000000221</v>
      </c>
    </row>
    <row r="32" spans="1:7" ht="15">
      <c r="A32" s="34" t="s">
        <v>233</v>
      </c>
      <c r="B32" s="34" t="s">
        <v>142</v>
      </c>
      <c r="C32" s="103" t="s">
        <v>315</v>
      </c>
      <c r="D32" s="88">
        <v>557795.29</v>
      </c>
      <c r="E32" s="88">
        <v>575584.01</v>
      </c>
      <c r="F32" s="88">
        <f>D32</f>
        <v>557795.29</v>
      </c>
      <c r="G32" s="88">
        <f>E32-D32</f>
        <v>17788.719999999972</v>
      </c>
    </row>
    <row r="33" spans="1:7" ht="26.25">
      <c r="A33" s="34" t="s">
        <v>234</v>
      </c>
      <c r="B33" s="34" t="s">
        <v>143</v>
      </c>
      <c r="C33" s="49" t="s">
        <v>399</v>
      </c>
      <c r="D33" s="88">
        <v>703297.24</v>
      </c>
      <c r="E33" s="88">
        <v>726940.77</v>
      </c>
      <c r="F33" s="88">
        <f>D33</f>
        <v>703297.24</v>
      </c>
      <c r="G33" s="88">
        <f>E33-D33</f>
        <v>23643.530000000028</v>
      </c>
    </row>
    <row r="34" spans="1:11" ht="26.25">
      <c r="A34" s="34" t="s">
        <v>235</v>
      </c>
      <c r="B34" s="34" t="s">
        <v>43</v>
      </c>
      <c r="C34" s="49" t="s">
        <v>399</v>
      </c>
      <c r="D34" s="88">
        <v>1064505.24</v>
      </c>
      <c r="E34" s="88">
        <v>1057499.75</v>
      </c>
      <c r="F34" s="88">
        <f>D34</f>
        <v>1064505.24</v>
      </c>
      <c r="G34" s="88">
        <f>E34-D34</f>
        <v>-7005.489999999991</v>
      </c>
      <c r="K34" s="100"/>
    </row>
    <row r="35" spans="1:9" s="106" customFormat="1" ht="33" customHeight="1" thickBot="1">
      <c r="A35" s="56" t="s">
        <v>647</v>
      </c>
      <c r="B35" s="204" t="s">
        <v>640</v>
      </c>
      <c r="C35" s="296"/>
      <c r="D35" s="239">
        <f>79800+9600+3600+3600+3000</f>
        <v>99600</v>
      </c>
      <c r="E35" s="239">
        <f>62150+6150+2860+3600+2800+2800</f>
        <v>80360</v>
      </c>
      <c r="F35" s="239">
        <v>0</v>
      </c>
      <c r="G35" s="88">
        <f>E35-D35</f>
        <v>-19240</v>
      </c>
      <c r="H35" s="105"/>
      <c r="I35" s="105"/>
    </row>
    <row r="36" spans="1:9" s="71" customFormat="1" ht="15.75" thickBot="1">
      <c r="A36" s="319" t="s">
        <v>420</v>
      </c>
      <c r="B36" s="320"/>
      <c r="C36" s="348"/>
      <c r="D36" s="297">
        <f>D12+D18+D24+D25+D26+D27+D28+D29+D30-E18-E24-E25-E26-E27-E28-E29-E30</f>
        <v>249500.99000000022</v>
      </c>
      <c r="E36" s="70"/>
      <c r="F36" s="70"/>
      <c r="G36" s="70"/>
      <c r="H36" s="66"/>
      <c r="I36" s="66"/>
    </row>
    <row r="37" spans="1:9" s="71" customFormat="1" ht="6" customHeight="1" thickBot="1">
      <c r="A37" s="72"/>
      <c r="B37" s="72"/>
      <c r="C37" s="72"/>
      <c r="D37" s="40"/>
      <c r="E37" s="70"/>
      <c r="F37" s="70"/>
      <c r="G37" s="70"/>
      <c r="H37" s="66"/>
      <c r="I37" s="66"/>
    </row>
    <row r="38" spans="1:11" s="71" customFormat="1" ht="15.75" thickBot="1">
      <c r="A38" s="67" t="s">
        <v>558</v>
      </c>
      <c r="B38" s="68"/>
      <c r="C38" s="68"/>
      <c r="D38" s="73"/>
      <c r="E38" s="74"/>
      <c r="F38" s="74"/>
      <c r="G38" s="75">
        <f>G14+E27-F27+E29-F29</f>
        <v>337286.825490671</v>
      </c>
      <c r="H38" s="66"/>
      <c r="I38" s="66"/>
      <c r="K38" s="107"/>
    </row>
    <row r="39" spans="1:11" s="71" customFormat="1" ht="15.75" thickBot="1">
      <c r="A39" s="67" t="s">
        <v>575</v>
      </c>
      <c r="B39" s="68"/>
      <c r="C39" s="68"/>
      <c r="D39" s="73"/>
      <c r="E39" s="74"/>
      <c r="F39" s="74"/>
      <c r="G39" s="75">
        <f>G15+E26-F26</f>
        <v>371798.0634093289</v>
      </c>
      <c r="H39" s="66"/>
      <c r="I39" s="66"/>
      <c r="K39" s="107"/>
    </row>
    <row r="40" spans="1:11" s="106" customFormat="1" ht="13.5">
      <c r="A40" s="108"/>
      <c r="B40" s="108"/>
      <c r="C40" s="108"/>
      <c r="D40" s="108"/>
      <c r="E40" s="105"/>
      <c r="F40" s="105"/>
      <c r="G40" s="105"/>
      <c r="H40" s="105"/>
      <c r="I40" s="105"/>
      <c r="J40" s="105"/>
      <c r="K40" s="105"/>
    </row>
    <row r="41" spans="1:11" ht="31.5" customHeight="1">
      <c r="A41" s="321" t="s">
        <v>196</v>
      </c>
      <c r="B41" s="349"/>
      <c r="C41" s="349"/>
      <c r="D41" s="349"/>
      <c r="E41" s="349"/>
      <c r="F41" s="349"/>
      <c r="G41" s="349"/>
      <c r="H41" s="66"/>
      <c r="I41" s="66"/>
      <c r="J41" s="66"/>
      <c r="K41" s="66"/>
    </row>
    <row r="43" spans="1:12" s="78" customFormat="1" ht="37.5" customHeight="1">
      <c r="A43" s="109" t="s">
        <v>11</v>
      </c>
      <c r="B43" s="340" t="s">
        <v>45</v>
      </c>
      <c r="C43" s="352"/>
      <c r="D43" s="109" t="s">
        <v>172</v>
      </c>
      <c r="E43" s="109" t="s">
        <v>171</v>
      </c>
      <c r="F43" s="426" t="s">
        <v>46</v>
      </c>
      <c r="G43" s="426"/>
      <c r="H43" s="110"/>
      <c r="I43" s="111"/>
      <c r="L43" s="112"/>
    </row>
    <row r="44" spans="1:12" s="119" customFormat="1" ht="15" customHeight="1">
      <c r="A44" s="113" t="s">
        <v>47</v>
      </c>
      <c r="B44" s="342" t="s">
        <v>114</v>
      </c>
      <c r="C44" s="345"/>
      <c r="D44" s="115"/>
      <c r="E44" s="115"/>
      <c r="F44" s="436">
        <f>SUM(F45:G52)</f>
        <v>314690.0002</v>
      </c>
      <c r="G44" s="437"/>
      <c r="H44" s="117"/>
      <c r="I44" s="118"/>
      <c r="L44" s="120"/>
    </row>
    <row r="45" spans="1:12" ht="15">
      <c r="A45" s="34" t="s">
        <v>16</v>
      </c>
      <c r="B45" s="325" t="s">
        <v>377</v>
      </c>
      <c r="C45" s="327"/>
      <c r="D45" s="123" t="s">
        <v>173</v>
      </c>
      <c r="E45" s="123">
        <v>10</v>
      </c>
      <c r="F45" s="366">
        <v>185878</v>
      </c>
      <c r="G45" s="367"/>
      <c r="H45" s="40"/>
      <c r="I45" s="40"/>
      <c r="L45" s="124"/>
    </row>
    <row r="46" spans="1:12" ht="31.5" customHeight="1">
      <c r="A46" s="34" t="s">
        <v>18</v>
      </c>
      <c r="B46" s="325" t="s">
        <v>779</v>
      </c>
      <c r="C46" s="327"/>
      <c r="D46" s="123" t="s">
        <v>281</v>
      </c>
      <c r="E46" s="123">
        <v>1</v>
      </c>
      <c r="F46" s="355">
        <v>12879.58</v>
      </c>
      <c r="G46" s="355"/>
      <c r="H46" s="40"/>
      <c r="I46" s="40"/>
      <c r="L46" s="124"/>
    </row>
    <row r="47" spans="1:12" ht="15">
      <c r="A47" s="34" t="s">
        <v>20</v>
      </c>
      <c r="B47" s="325" t="s">
        <v>282</v>
      </c>
      <c r="C47" s="327"/>
      <c r="D47" s="123" t="s">
        <v>265</v>
      </c>
      <c r="E47" s="126">
        <v>0.115</v>
      </c>
      <c r="F47" s="355">
        <v>8463.01</v>
      </c>
      <c r="G47" s="355"/>
      <c r="H47" s="40"/>
      <c r="I47" s="40"/>
      <c r="L47" s="124"/>
    </row>
    <row r="48" spans="1:11" s="71" customFormat="1" ht="15">
      <c r="A48" s="34" t="s">
        <v>22</v>
      </c>
      <c r="B48" s="325" t="s">
        <v>778</v>
      </c>
      <c r="C48" s="327"/>
      <c r="D48" s="123" t="s">
        <v>261</v>
      </c>
      <c r="E48" s="123">
        <v>0.01</v>
      </c>
      <c r="F48" s="355">
        <v>2233.1</v>
      </c>
      <c r="G48" s="355"/>
      <c r="H48" s="63"/>
      <c r="I48" s="63"/>
      <c r="J48" s="63"/>
      <c r="K48" s="63"/>
    </row>
    <row r="49" spans="1:11" s="71" customFormat="1" ht="15">
      <c r="A49" s="34" t="s">
        <v>24</v>
      </c>
      <c r="B49" s="325" t="s">
        <v>780</v>
      </c>
      <c r="C49" s="327"/>
      <c r="D49" s="123" t="s">
        <v>177</v>
      </c>
      <c r="E49" s="123">
        <v>0.54</v>
      </c>
      <c r="F49" s="355">
        <v>84525.77</v>
      </c>
      <c r="G49" s="355"/>
      <c r="H49" s="63"/>
      <c r="I49" s="63"/>
      <c r="J49" s="63"/>
      <c r="K49" s="63"/>
    </row>
    <row r="50" spans="1:7" s="63" customFormat="1" ht="15">
      <c r="A50" s="34" t="s">
        <v>106</v>
      </c>
      <c r="B50" s="325" t="s">
        <v>781</v>
      </c>
      <c r="C50" s="327"/>
      <c r="D50" s="123" t="s">
        <v>269</v>
      </c>
      <c r="E50" s="123">
        <v>0.01</v>
      </c>
      <c r="F50" s="355">
        <v>243.04</v>
      </c>
      <c r="G50" s="355"/>
    </row>
    <row r="51" spans="1:7" s="63" customFormat="1" ht="15">
      <c r="A51" s="34" t="s">
        <v>107</v>
      </c>
      <c r="B51" s="325" t="s">
        <v>754</v>
      </c>
      <c r="C51" s="327"/>
      <c r="D51" s="123"/>
      <c r="E51" s="123"/>
      <c r="F51" s="355">
        <v>18300</v>
      </c>
      <c r="G51" s="355"/>
    </row>
    <row r="52" spans="1:7" ht="15">
      <c r="A52" s="34" t="s">
        <v>120</v>
      </c>
      <c r="B52" s="364" t="s">
        <v>207</v>
      </c>
      <c r="C52" s="365"/>
      <c r="D52" s="129"/>
      <c r="E52" s="129"/>
      <c r="F52" s="355">
        <f>E27*1%</f>
        <v>2167.5002</v>
      </c>
      <c r="G52" s="355"/>
    </row>
    <row r="53" spans="1:7" ht="15">
      <c r="A53" s="113" t="s">
        <v>752</v>
      </c>
      <c r="B53" s="342" t="s">
        <v>664</v>
      </c>
      <c r="C53" s="345"/>
      <c r="D53" s="115"/>
      <c r="E53" s="115"/>
      <c r="F53" s="436">
        <f>SUM(F54:G58)</f>
        <v>713412.5</v>
      </c>
      <c r="G53" s="437"/>
    </row>
    <row r="54" spans="1:7" ht="15">
      <c r="A54" s="34" t="s">
        <v>708</v>
      </c>
      <c r="B54" s="364" t="s">
        <v>378</v>
      </c>
      <c r="C54" s="365"/>
      <c r="D54" s="130" t="s">
        <v>173</v>
      </c>
      <c r="E54" s="130">
        <v>4</v>
      </c>
      <c r="F54" s="388">
        <v>29480</v>
      </c>
      <c r="G54" s="389"/>
    </row>
    <row r="55" spans="1:7" ht="15" customHeight="1">
      <c r="A55" s="34" t="s">
        <v>709</v>
      </c>
      <c r="B55" s="325" t="s">
        <v>400</v>
      </c>
      <c r="C55" s="327"/>
      <c r="D55" s="123"/>
      <c r="E55" s="123"/>
      <c r="F55" s="355">
        <f>(40000*12)</f>
        <v>480000</v>
      </c>
      <c r="G55" s="355"/>
    </row>
    <row r="56" spans="1:7" ht="15" customHeight="1">
      <c r="A56" s="34" t="s">
        <v>742</v>
      </c>
      <c r="B56" s="325" t="s">
        <v>684</v>
      </c>
      <c r="C56" s="327"/>
      <c r="D56" s="123" t="s">
        <v>173</v>
      </c>
      <c r="E56" s="123">
        <v>4</v>
      </c>
      <c r="F56" s="366">
        <v>129612</v>
      </c>
      <c r="G56" s="367"/>
    </row>
    <row r="57" spans="1:7" ht="15" customHeight="1">
      <c r="A57" s="34" t="s">
        <v>743</v>
      </c>
      <c r="B57" s="325" t="s">
        <v>753</v>
      </c>
      <c r="C57" s="327"/>
      <c r="D57" s="123" t="s">
        <v>173</v>
      </c>
      <c r="E57" s="123">
        <v>1</v>
      </c>
      <c r="F57" s="366">
        <v>17490.5</v>
      </c>
      <c r="G57" s="367"/>
    </row>
    <row r="58" spans="1:7" ht="15">
      <c r="A58" s="34" t="s">
        <v>744</v>
      </c>
      <c r="B58" s="325" t="s">
        <v>656</v>
      </c>
      <c r="C58" s="327"/>
      <c r="D58" s="123" t="s">
        <v>173</v>
      </c>
      <c r="E58" s="123">
        <v>1</v>
      </c>
      <c r="F58" s="366">
        <v>56830</v>
      </c>
      <c r="G58" s="367"/>
    </row>
    <row r="59" spans="1:7" ht="12.75">
      <c r="A59" s="63"/>
      <c r="B59" s="63"/>
      <c r="C59" s="63"/>
      <c r="D59" s="63"/>
      <c r="E59" s="63"/>
      <c r="F59" s="63"/>
      <c r="G59" s="63"/>
    </row>
    <row r="60" spans="1:7" ht="15">
      <c r="A60" s="71" t="s">
        <v>55</v>
      </c>
      <c r="B60" s="71"/>
      <c r="C60" s="131" t="s">
        <v>49</v>
      </c>
      <c r="D60" s="71"/>
      <c r="E60" s="71"/>
      <c r="F60" s="71" t="s">
        <v>93</v>
      </c>
      <c r="G60" s="71"/>
    </row>
    <row r="61" spans="1:7" ht="15">
      <c r="A61" s="71"/>
      <c r="B61" s="71"/>
      <c r="C61" s="131"/>
      <c r="D61" s="71"/>
      <c r="E61" s="71"/>
      <c r="F61" s="132" t="s">
        <v>296</v>
      </c>
      <c r="G61" s="71"/>
    </row>
    <row r="62" spans="1:7" ht="15">
      <c r="A62" s="71" t="s">
        <v>50</v>
      </c>
      <c r="B62" s="71"/>
      <c r="C62" s="131"/>
      <c r="D62" s="71"/>
      <c r="E62" s="71"/>
      <c r="F62" s="71"/>
      <c r="G62" s="71"/>
    </row>
    <row r="63" spans="1:7" ht="15">
      <c r="A63" s="71"/>
      <c r="B63" s="71"/>
      <c r="C63" s="133" t="s">
        <v>51</v>
      </c>
      <c r="D63" s="71"/>
      <c r="E63" s="134"/>
      <c r="F63" s="134"/>
      <c r="G63" s="134"/>
    </row>
  </sheetData>
  <sheetProtection/>
  <mergeCells count="44">
    <mergeCell ref="B50:C50"/>
    <mergeCell ref="F50:G50"/>
    <mergeCell ref="B58:C58"/>
    <mergeCell ref="F58:G58"/>
    <mergeCell ref="B53:C53"/>
    <mergeCell ref="F53:G53"/>
    <mergeCell ref="B54:C54"/>
    <mergeCell ref="B56:C56"/>
    <mergeCell ref="F56:G56"/>
    <mergeCell ref="B57:C57"/>
    <mergeCell ref="F54:G54"/>
    <mergeCell ref="B48:C48"/>
    <mergeCell ref="F48:G48"/>
    <mergeCell ref="F47:G47"/>
    <mergeCell ref="B47:C47"/>
    <mergeCell ref="B55:C55"/>
    <mergeCell ref="F55:G55"/>
    <mergeCell ref="B52:C52"/>
    <mergeCell ref="F52:G52"/>
    <mergeCell ref="B49:C49"/>
    <mergeCell ref="F49:G49"/>
    <mergeCell ref="B44:C44"/>
    <mergeCell ref="F44:G44"/>
    <mergeCell ref="A41:G41"/>
    <mergeCell ref="B45:C45"/>
    <mergeCell ref="F45:G45"/>
    <mergeCell ref="B46:C46"/>
    <mergeCell ref="F46:G46"/>
    <mergeCell ref="A1:K1"/>
    <mergeCell ref="A2:K2"/>
    <mergeCell ref="A3:K3"/>
    <mergeCell ref="A5:K5"/>
    <mergeCell ref="A9:K9"/>
    <mergeCell ref="A11:K11"/>
    <mergeCell ref="F57:G57"/>
    <mergeCell ref="B51:C51"/>
    <mergeCell ref="F51:G51"/>
    <mergeCell ref="N26:O26"/>
    <mergeCell ref="R26:S26"/>
    <mergeCell ref="A10:K10"/>
    <mergeCell ref="A12:C12"/>
    <mergeCell ref="A36:C36"/>
    <mergeCell ref="B43:C43"/>
    <mergeCell ref="F43:G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7030A0"/>
  </sheetPr>
  <dimension ref="A1:N47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247</v>
      </c>
      <c r="H7" s="64"/>
    </row>
    <row r="8" spans="1:8" s="63" customFormat="1" ht="12.75">
      <c r="A8" s="63" t="s">
        <v>3</v>
      </c>
      <c r="F8" s="64" t="s">
        <v>426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27724.94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'[1]Гагарина 9'!$G$35</f>
        <v>-2275.1508999999987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376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9.82</v>
      </c>
      <c r="D17" s="80">
        <v>191049.16</v>
      </c>
      <c r="E17" s="80">
        <v>193537.69</v>
      </c>
      <c r="F17" s="80">
        <f aca="true" t="shared" si="0" ref="F17:F24">D17</f>
        <v>191049.16</v>
      </c>
      <c r="G17" s="81">
        <f>E17-D17</f>
        <v>2488.529999999999</v>
      </c>
      <c r="H17" s="82">
        <f>C17</f>
        <v>9.82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64980.06052953156</v>
      </c>
      <c r="E18" s="87">
        <f>E17*I18</f>
        <v>65826.46482688391</v>
      </c>
      <c r="F18" s="87">
        <f t="shared" si="0"/>
        <v>64980.06052953156</v>
      </c>
      <c r="G18" s="88">
        <f aca="true" t="shared" si="1" ref="G18:G26">E18-D18</f>
        <v>846.4042973523465</v>
      </c>
      <c r="H18" s="82">
        <f>C18</f>
        <v>3.34</v>
      </c>
      <c r="I18" s="63">
        <f>H18/H17</f>
        <v>0.340122199592668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31711.825947046837</v>
      </c>
      <c r="E19" s="87">
        <f>E17*I19</f>
        <v>32124.891517311604</v>
      </c>
      <c r="F19" s="87">
        <f t="shared" si="0"/>
        <v>31711.825947046837</v>
      </c>
      <c r="G19" s="88">
        <f t="shared" si="1"/>
        <v>413.0655702647673</v>
      </c>
      <c r="H19" s="82">
        <f>C19</f>
        <v>1.63</v>
      </c>
      <c r="I19" s="63">
        <f>H19/H17</f>
        <v>0.16598778004073317</v>
      </c>
    </row>
    <row r="20" spans="1:9" s="63" customFormat="1" ht="15">
      <c r="A20" s="85" t="s">
        <v>20</v>
      </c>
      <c r="B20" s="34" t="s">
        <v>21</v>
      </c>
      <c r="C20" s="86">
        <v>1.92</v>
      </c>
      <c r="D20" s="87">
        <f>D17*I20</f>
        <v>37353.80725050916</v>
      </c>
      <c r="E20" s="87">
        <f>E17*I20</f>
        <v>37840.36301425662</v>
      </c>
      <c r="F20" s="87">
        <f t="shared" si="0"/>
        <v>37353.80725050916</v>
      </c>
      <c r="G20" s="88">
        <f t="shared" si="1"/>
        <v>486.5557637474558</v>
      </c>
      <c r="H20" s="82">
        <f>C20</f>
        <v>1.92</v>
      </c>
      <c r="I20" s="63">
        <f>H20/H17</f>
        <v>0.1955193482688391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57003.466272912425</v>
      </c>
      <c r="E21" s="87">
        <f>E17*I21</f>
        <v>57745.970641547865</v>
      </c>
      <c r="F21" s="87">
        <f t="shared" si="0"/>
        <v>57003.466272912425</v>
      </c>
      <c r="G21" s="88">
        <f t="shared" si="1"/>
        <v>742.5043686354402</v>
      </c>
      <c r="H21" s="82">
        <f>C21</f>
        <v>2.93</v>
      </c>
      <c r="I21" s="63">
        <f>H21/H17</f>
        <v>0.2983706720977597</v>
      </c>
    </row>
    <row r="22" spans="1:11" s="93" customFormat="1" ht="14.25">
      <c r="A22" s="90" t="s">
        <v>25</v>
      </c>
      <c r="B22" s="90" t="s">
        <v>26</v>
      </c>
      <c r="C22" s="46">
        <v>3.72</v>
      </c>
      <c r="D22" s="91">
        <v>71914.05</v>
      </c>
      <c r="E22" s="91">
        <v>73186.35</v>
      </c>
      <c r="F22" s="91">
        <v>0</v>
      </c>
      <c r="G22" s="91">
        <f t="shared" si="1"/>
        <v>1272.300000000003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279</v>
      </c>
      <c r="C23" s="46">
        <v>1.68</v>
      </c>
      <c r="D23" s="91">
        <v>33053.44</v>
      </c>
      <c r="E23" s="91">
        <v>33675.5</v>
      </c>
      <c r="F23" s="91">
        <f>D23</f>
        <v>33053.44</v>
      </c>
      <c r="G23" s="91">
        <f t="shared" si="1"/>
        <v>622.0599999999977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v>38555</v>
      </c>
      <c r="E25" s="91">
        <v>38542.91</v>
      </c>
      <c r="F25" s="91">
        <f>F39</f>
        <v>1051.4491</v>
      </c>
      <c r="G25" s="91">
        <f>E25-D25</f>
        <v>-12.089999999996508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39.62</v>
      </c>
      <c r="D26" s="81">
        <v>0</v>
      </c>
      <c r="E26" s="81">
        <v>0</v>
      </c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484256.36</v>
      </c>
      <c r="E27" s="81">
        <f>SUM(E28:E31)</f>
        <v>494730.79000000004</v>
      </c>
      <c r="F27" s="81">
        <f>SUM(F28:F31)</f>
        <v>484256.36</v>
      </c>
      <c r="G27" s="81">
        <f>SUM(G28:G31)</f>
        <v>10474.430000000026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300</v>
      </c>
      <c r="D28" s="88">
        <v>17917.36</v>
      </c>
      <c r="E28" s="88">
        <v>18260.23</v>
      </c>
      <c r="F28" s="88">
        <f>D28</f>
        <v>17917.36</v>
      </c>
      <c r="G28" s="88">
        <f>E28-D28</f>
        <v>342.869999999999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95196.5</v>
      </c>
      <c r="E29" s="88">
        <v>100158.51</v>
      </c>
      <c r="F29" s="88">
        <f>D29</f>
        <v>95196.5</v>
      </c>
      <c r="G29" s="88">
        <f>E29-D29</f>
        <v>4962.009999999995</v>
      </c>
    </row>
    <row r="30" spans="1:7" ht="15">
      <c r="A30" s="34" t="s">
        <v>42</v>
      </c>
      <c r="B30" s="34" t="s">
        <v>143</v>
      </c>
      <c r="C30" s="149" t="s">
        <v>382</v>
      </c>
      <c r="D30" s="226">
        <v>130836.64</v>
      </c>
      <c r="E30" s="226">
        <v>129983.35</v>
      </c>
      <c r="F30" s="88">
        <f>D30</f>
        <v>130836.64</v>
      </c>
      <c r="G30" s="88">
        <f>E30-D30</f>
        <v>-853.2899999999936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240305.86</v>
      </c>
      <c r="E31" s="88">
        <v>246328.7</v>
      </c>
      <c r="F31" s="88">
        <f>D31</f>
        <v>240305.86</v>
      </c>
      <c r="G31" s="88">
        <f>E31-D31</f>
        <v>6022.840000000026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12879.709999999963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35216.310000000005</v>
      </c>
      <c r="H35" s="66"/>
      <c r="I35" s="66"/>
    </row>
    <row r="36" spans="1:11" ht="31.5" customHeight="1">
      <c r="A36" s="321" t="s">
        <v>196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SUM(F40:G41)</f>
        <v>1051.4491</v>
      </c>
      <c r="G39" s="351"/>
      <c r="H39" s="270"/>
      <c r="I39" s="271"/>
      <c r="L39" s="120"/>
    </row>
    <row r="40" spans="1:12" ht="15">
      <c r="A40" s="34" t="s">
        <v>16</v>
      </c>
      <c r="B40" s="325" t="s">
        <v>178</v>
      </c>
      <c r="C40" s="327"/>
      <c r="D40" s="123" t="s">
        <v>352</v>
      </c>
      <c r="E40" s="123">
        <v>0.02</v>
      </c>
      <c r="F40" s="366">
        <v>666.02</v>
      </c>
      <c r="G40" s="367"/>
      <c r="H40" s="272"/>
      <c r="I40" s="273"/>
      <c r="L40" s="124"/>
    </row>
    <row r="41" spans="1:11" s="71" customFormat="1" ht="15">
      <c r="A41" s="34" t="s">
        <v>18</v>
      </c>
      <c r="B41" s="364" t="s">
        <v>207</v>
      </c>
      <c r="C41" s="365"/>
      <c r="D41" s="129"/>
      <c r="E41" s="129"/>
      <c r="F41" s="355">
        <f>E25*1%</f>
        <v>385.42910000000006</v>
      </c>
      <c r="G41" s="355"/>
      <c r="H41" s="63"/>
      <c r="I41" s="63"/>
      <c r="J41" s="63"/>
      <c r="K41" s="63"/>
    </row>
    <row r="42" s="63" customFormat="1" ht="9" customHeight="1"/>
    <row r="43" spans="1:11" s="63" customFormat="1" ht="15">
      <c r="A43" s="71" t="s">
        <v>55</v>
      </c>
      <c r="B43" s="71"/>
      <c r="C43" s="131" t="s">
        <v>49</v>
      </c>
      <c r="D43" s="71"/>
      <c r="E43" s="71"/>
      <c r="F43" s="71" t="s">
        <v>93</v>
      </c>
      <c r="G43" s="71"/>
      <c r="H43" s="71"/>
      <c r="I43" s="71"/>
      <c r="J43" s="71"/>
      <c r="K43" s="71"/>
    </row>
    <row r="44" spans="1:7" s="63" customFormat="1" ht="15">
      <c r="A44" s="71"/>
      <c r="B44" s="71"/>
      <c r="C44" s="131"/>
      <c r="D44" s="71"/>
      <c r="E44" s="71"/>
      <c r="F44" s="132" t="s">
        <v>296</v>
      </c>
      <c r="G44" s="71"/>
    </row>
    <row r="45" spans="1:10" s="63" customFormat="1" ht="15">
      <c r="A45" s="71" t="s">
        <v>50</v>
      </c>
      <c r="B45" s="71"/>
      <c r="C45" s="131"/>
      <c r="D45" s="71"/>
      <c r="E45" s="71"/>
      <c r="F45" s="71"/>
      <c r="G45" s="71"/>
      <c r="H45" s="164"/>
      <c r="I45" s="164"/>
      <c r="J45" s="164"/>
    </row>
    <row r="46" spans="1:11" ht="15">
      <c r="A46" s="71"/>
      <c r="B46" s="71"/>
      <c r="C46" s="133" t="s">
        <v>51</v>
      </c>
      <c r="D46" s="71"/>
      <c r="E46" s="134"/>
      <c r="F46" s="134"/>
      <c r="G46" s="134"/>
      <c r="H46" s="63"/>
      <c r="I46" s="63"/>
      <c r="J46" s="63"/>
      <c r="K46" s="63"/>
    </row>
    <row r="47" spans="1:1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</row>
  </sheetData>
  <sheetProtection/>
  <mergeCells count="18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1:C41"/>
    <mergeCell ref="F41:G41"/>
    <mergeCell ref="B39:C39"/>
    <mergeCell ref="F39:G39"/>
    <mergeCell ref="B40:C40"/>
    <mergeCell ref="F40:G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7030A0"/>
  </sheetPr>
  <dimension ref="A1:N53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248</v>
      </c>
      <c r="H7" s="64"/>
    </row>
    <row r="8" spans="1:8" s="63" customFormat="1" ht="12.75">
      <c r="A8" s="63" t="s">
        <v>3</v>
      </c>
      <c r="F8" s="64" t="s">
        <v>249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105951.75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'[1]Добровольского 14'!$G$35</f>
        <v>6609.903100000003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376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9.53</v>
      </c>
      <c r="D17" s="80">
        <v>378790.98</v>
      </c>
      <c r="E17" s="80">
        <v>356505.16</v>
      </c>
      <c r="F17" s="80">
        <f aca="true" t="shared" si="0" ref="F17:F24">D17</f>
        <v>378790.98</v>
      </c>
      <c r="G17" s="81">
        <f>E17-D17</f>
        <v>-22285.820000000007</v>
      </c>
      <c r="H17" s="82">
        <f>C17</f>
        <v>9.53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132755.70547743965</v>
      </c>
      <c r="E18" s="87">
        <f>E17*I18</f>
        <v>124945.14526757607</v>
      </c>
      <c r="F18" s="87">
        <f t="shared" si="0"/>
        <v>132755.70547743965</v>
      </c>
      <c r="G18" s="88">
        <f aca="true" t="shared" si="1" ref="G18:G26">E18-D18</f>
        <v>-7810.560209863586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64787.96405036726</v>
      </c>
      <c r="E19" s="87">
        <f>E17*I19</f>
        <v>60976.223588667366</v>
      </c>
      <c r="F19" s="87">
        <f t="shared" si="0"/>
        <v>64787.96405036726</v>
      </c>
      <c r="G19" s="88">
        <f t="shared" si="1"/>
        <v>-3811.7404616998974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86">
        <v>1.63</v>
      </c>
      <c r="D20" s="87">
        <f>D17*I20</f>
        <v>64787.96405036726</v>
      </c>
      <c r="E20" s="87">
        <f>E17*I20</f>
        <v>60976.223588667366</v>
      </c>
      <c r="F20" s="87">
        <f t="shared" si="0"/>
        <v>64787.96405036726</v>
      </c>
      <c r="G20" s="88">
        <f t="shared" si="1"/>
        <v>-3811.7404616998974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116459.34642182583</v>
      </c>
      <c r="E21" s="87">
        <f>E17*I21</f>
        <v>109607.5675550892</v>
      </c>
      <c r="F21" s="87">
        <f t="shared" si="0"/>
        <v>116459.34642182583</v>
      </c>
      <c r="G21" s="88">
        <f t="shared" si="1"/>
        <v>-6851.778866736626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26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690</v>
      </c>
      <c r="C23" s="46">
        <v>200</v>
      </c>
      <c r="D23" s="91">
        <v>168000</v>
      </c>
      <c r="E23" s="91">
        <v>156049.02</v>
      </c>
      <c r="F23" s="91">
        <f>D23</f>
        <v>168000</v>
      </c>
      <c r="G23" s="91">
        <f t="shared" si="1"/>
        <v>-11950.98000000001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1.8</v>
      </c>
      <c r="D25" s="91">
        <v>71470.08</v>
      </c>
      <c r="E25" s="91">
        <v>66396.8</v>
      </c>
      <c r="F25" s="91">
        <f>F39</f>
        <v>77988.218</v>
      </c>
      <c r="G25" s="91">
        <f>E25-D25</f>
        <v>-5073.279999999999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 t="s">
        <v>314</v>
      </c>
      <c r="D26" s="81">
        <v>0</v>
      </c>
      <c r="E26" s="81">
        <v>0</v>
      </c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1527900.52</v>
      </c>
      <c r="E27" s="81">
        <f>SUM(E28:E31)</f>
        <v>1403076.8</v>
      </c>
      <c r="F27" s="81">
        <f>SUM(F28:F31)</f>
        <v>1527900.52</v>
      </c>
      <c r="G27" s="81">
        <f>SUM(G28:G31)</f>
        <v>-124823.71999999994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28095.98</v>
      </c>
      <c r="E28" s="88">
        <v>26183.13</v>
      </c>
      <c r="F28" s="88">
        <f>D28</f>
        <v>28095.98</v>
      </c>
      <c r="G28" s="88">
        <f>E28-D28</f>
        <v>-1912.8499999999985</v>
      </c>
    </row>
    <row r="29" spans="1:7" ht="15">
      <c r="A29" s="34" t="s">
        <v>39</v>
      </c>
      <c r="B29" s="34" t="s">
        <v>142</v>
      </c>
      <c r="C29" s="103" t="s">
        <v>315</v>
      </c>
      <c r="D29" s="88">
        <v>452403.84</v>
      </c>
      <c r="E29" s="88">
        <v>414959.75</v>
      </c>
      <c r="F29" s="88">
        <f>D29</f>
        <v>452403.84</v>
      </c>
      <c r="G29" s="88">
        <f>E29-D29</f>
        <v>-37444.090000000026</v>
      </c>
    </row>
    <row r="30" spans="1:7" ht="15">
      <c r="A30" s="34" t="s">
        <v>42</v>
      </c>
      <c r="B30" s="34" t="s">
        <v>143</v>
      </c>
      <c r="C30" s="149">
        <v>0</v>
      </c>
      <c r="D30" s="226">
        <v>0</v>
      </c>
      <c r="E30" s="226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1047400.7</v>
      </c>
      <c r="E31" s="88">
        <v>961933.92</v>
      </c>
      <c r="F31" s="88">
        <f>D31</f>
        <v>1047400.7</v>
      </c>
      <c r="G31" s="88">
        <f>E31-D31</f>
        <v>-85466.77999999991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270085.55000000005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-4981.51489999998</v>
      </c>
      <c r="H35" s="66"/>
      <c r="I35" s="66"/>
    </row>
    <row r="36" spans="1:11" ht="31.5" customHeight="1">
      <c r="A36" s="321" t="s">
        <v>196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SUM(F40:G47)</f>
        <v>77988.218</v>
      </c>
      <c r="G39" s="351"/>
      <c r="H39" s="270"/>
      <c r="I39" s="271"/>
      <c r="L39" s="120"/>
    </row>
    <row r="40" spans="1:12" ht="15">
      <c r="A40" s="34" t="s">
        <v>16</v>
      </c>
      <c r="B40" s="325" t="s">
        <v>427</v>
      </c>
      <c r="C40" s="327"/>
      <c r="D40" s="123" t="s">
        <v>173</v>
      </c>
      <c r="E40" s="123">
        <v>1</v>
      </c>
      <c r="F40" s="366">
        <v>1241.94</v>
      </c>
      <c r="G40" s="367"/>
      <c r="H40" s="272"/>
      <c r="I40" s="273"/>
      <c r="L40" s="124"/>
    </row>
    <row r="41" spans="1:12" ht="15">
      <c r="A41" s="34" t="s">
        <v>18</v>
      </c>
      <c r="B41" s="325" t="s">
        <v>427</v>
      </c>
      <c r="C41" s="327"/>
      <c r="D41" s="123"/>
      <c r="E41" s="123" t="s">
        <v>308</v>
      </c>
      <c r="F41" s="366">
        <v>148</v>
      </c>
      <c r="G41" s="367"/>
      <c r="H41" s="40"/>
      <c r="I41" s="40"/>
      <c r="L41" s="124"/>
    </row>
    <row r="42" spans="1:12" ht="15">
      <c r="A42" s="34" t="s">
        <v>20</v>
      </c>
      <c r="B42" s="325" t="s">
        <v>428</v>
      </c>
      <c r="C42" s="327"/>
      <c r="D42" s="123" t="s">
        <v>269</v>
      </c>
      <c r="E42" s="123">
        <v>0.24</v>
      </c>
      <c r="F42" s="366">
        <v>14764.05</v>
      </c>
      <c r="G42" s="367"/>
      <c r="H42" s="40"/>
      <c r="I42" s="40"/>
      <c r="L42" s="124"/>
    </row>
    <row r="43" spans="1:12" ht="15">
      <c r="A43" s="34" t="s">
        <v>22</v>
      </c>
      <c r="B43" s="325" t="s">
        <v>429</v>
      </c>
      <c r="C43" s="327"/>
      <c r="D43" s="123" t="s">
        <v>173</v>
      </c>
      <c r="E43" s="123">
        <v>4</v>
      </c>
      <c r="F43" s="366">
        <v>40974.26</v>
      </c>
      <c r="G43" s="367"/>
      <c r="H43" s="40"/>
      <c r="I43" s="40"/>
      <c r="L43" s="124"/>
    </row>
    <row r="44" spans="1:12" ht="15">
      <c r="A44" s="34" t="s">
        <v>24</v>
      </c>
      <c r="B44" s="325" t="s">
        <v>430</v>
      </c>
      <c r="C44" s="327"/>
      <c r="D44" s="123" t="s">
        <v>352</v>
      </c>
      <c r="E44" s="123">
        <v>0.15</v>
      </c>
      <c r="F44" s="366">
        <v>9922</v>
      </c>
      <c r="G44" s="367"/>
      <c r="H44" s="40"/>
      <c r="I44" s="40"/>
      <c r="L44" s="124"/>
    </row>
    <row r="45" spans="1:12" ht="15">
      <c r="A45" s="34" t="s">
        <v>106</v>
      </c>
      <c r="B45" s="325" t="s">
        <v>663</v>
      </c>
      <c r="C45" s="350"/>
      <c r="D45" s="123"/>
      <c r="E45" s="159" t="s">
        <v>286</v>
      </c>
      <c r="F45" s="355">
        <v>9800</v>
      </c>
      <c r="G45" s="355"/>
      <c r="H45" s="40"/>
      <c r="I45" s="40"/>
      <c r="L45" s="124"/>
    </row>
    <row r="46" spans="1:12" ht="15">
      <c r="A46" s="34" t="s">
        <v>107</v>
      </c>
      <c r="B46" s="325" t="s">
        <v>783</v>
      </c>
      <c r="C46" s="350"/>
      <c r="D46" s="123"/>
      <c r="E46" s="159"/>
      <c r="F46" s="355">
        <v>474</v>
      </c>
      <c r="G46" s="355"/>
      <c r="H46" s="40"/>
      <c r="I46" s="40"/>
      <c r="L46" s="124"/>
    </row>
    <row r="47" spans="1:11" s="71" customFormat="1" ht="15">
      <c r="A47" s="34" t="s">
        <v>120</v>
      </c>
      <c r="B47" s="364" t="s">
        <v>207</v>
      </c>
      <c r="C47" s="365"/>
      <c r="D47" s="129"/>
      <c r="E47" s="129"/>
      <c r="F47" s="355">
        <f>E25*1%</f>
        <v>663.9680000000001</v>
      </c>
      <c r="G47" s="355"/>
      <c r="H47" s="63"/>
      <c r="I47" s="63"/>
      <c r="J47" s="63"/>
      <c r="K47" s="63"/>
    </row>
    <row r="48" s="63" customFormat="1" ht="9" customHeight="1"/>
    <row r="49" spans="1:11" s="63" customFormat="1" ht="15">
      <c r="A49" s="71" t="s">
        <v>55</v>
      </c>
      <c r="B49" s="71"/>
      <c r="C49" s="131" t="s">
        <v>49</v>
      </c>
      <c r="D49" s="71"/>
      <c r="E49" s="71"/>
      <c r="F49" s="71" t="s">
        <v>93</v>
      </c>
      <c r="G49" s="71"/>
      <c r="H49" s="71"/>
      <c r="I49" s="71"/>
      <c r="J49" s="71"/>
      <c r="K49" s="71"/>
    </row>
    <row r="50" spans="1:7" s="63" customFormat="1" ht="15">
      <c r="A50" s="71"/>
      <c r="B50" s="71"/>
      <c r="C50" s="131"/>
      <c r="D50" s="71"/>
      <c r="E50" s="71"/>
      <c r="F50" s="132" t="s">
        <v>296</v>
      </c>
      <c r="G50" s="71"/>
    </row>
    <row r="51" spans="1:10" s="63" customFormat="1" ht="15">
      <c r="A51" s="71" t="s">
        <v>50</v>
      </c>
      <c r="B51" s="71"/>
      <c r="C51" s="131"/>
      <c r="D51" s="71"/>
      <c r="E51" s="71"/>
      <c r="F51" s="71"/>
      <c r="G51" s="71"/>
      <c r="H51" s="164"/>
      <c r="I51" s="164"/>
      <c r="J51" s="164"/>
    </row>
    <row r="52" spans="1:11" ht="15">
      <c r="A52" s="71"/>
      <c r="B52" s="71"/>
      <c r="C52" s="133" t="s">
        <v>51</v>
      </c>
      <c r="D52" s="71"/>
      <c r="E52" s="134"/>
      <c r="F52" s="134"/>
      <c r="G52" s="134"/>
      <c r="H52" s="63"/>
      <c r="I52" s="63"/>
      <c r="J52" s="63"/>
      <c r="K52" s="63"/>
    </row>
    <row r="53" spans="1:11" ht="12.7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</row>
  </sheetData>
  <sheetProtection/>
  <mergeCells count="30">
    <mergeCell ref="A11:K11"/>
    <mergeCell ref="A12:C12"/>
    <mergeCell ref="A1:K1"/>
    <mergeCell ref="A2:K2"/>
    <mergeCell ref="A3:K3"/>
    <mergeCell ref="A5:K5"/>
    <mergeCell ref="A9:K9"/>
    <mergeCell ref="A10:K10"/>
    <mergeCell ref="A33:C33"/>
    <mergeCell ref="A36:K36"/>
    <mergeCell ref="B38:C38"/>
    <mergeCell ref="F38:G38"/>
    <mergeCell ref="B39:C39"/>
    <mergeCell ref="F39:G39"/>
    <mergeCell ref="B40:C40"/>
    <mergeCell ref="F40:G40"/>
    <mergeCell ref="B41:C41"/>
    <mergeCell ref="F41:G41"/>
    <mergeCell ref="B46:C46"/>
    <mergeCell ref="F46:G46"/>
    <mergeCell ref="B42:C42"/>
    <mergeCell ref="F42:G42"/>
    <mergeCell ref="B44:C44"/>
    <mergeCell ref="B45:C45"/>
    <mergeCell ref="B47:C47"/>
    <mergeCell ref="F47:G47"/>
    <mergeCell ref="F43:G43"/>
    <mergeCell ref="F44:G44"/>
    <mergeCell ref="F45:G45"/>
    <mergeCell ref="B43:C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7030A0"/>
  </sheetPr>
  <dimension ref="A1:N48"/>
  <sheetViews>
    <sheetView zoomScalePageLayoutView="0" workbookViewId="0" topLeftCell="A4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250</v>
      </c>
      <c r="H7" s="64"/>
    </row>
    <row r="8" spans="1:8" s="63" customFormat="1" ht="12.75">
      <c r="A8" s="63" t="s">
        <v>3</v>
      </c>
      <c r="F8" s="64" t="s">
        <v>251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-9730.4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'[1]Чижевского 12'!$G$35</f>
        <v>59675.7934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376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9.53</v>
      </c>
      <c r="D17" s="80">
        <v>349537.4</v>
      </c>
      <c r="E17" s="80">
        <v>333647.37</v>
      </c>
      <c r="F17" s="80">
        <f aca="true" t="shared" si="0" ref="F17:F24">D17</f>
        <v>349537.4</v>
      </c>
      <c r="G17" s="81">
        <f>E17-D17</f>
        <v>-15890.030000000028</v>
      </c>
      <c r="H17" s="82">
        <f>C17</f>
        <v>9.53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122503.1391395593</v>
      </c>
      <c r="E18" s="87">
        <f>E17*I18</f>
        <v>116934.12547743965</v>
      </c>
      <c r="F18" s="87">
        <f t="shared" si="0"/>
        <v>122503.1391395593</v>
      </c>
      <c r="G18" s="88">
        <f aca="true" t="shared" si="1" ref="G18:G26">E18-D18</f>
        <v>-5569.013662119643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59784.466107030436</v>
      </c>
      <c r="E19" s="87">
        <f>E17*I19</f>
        <v>57066.654050367266</v>
      </c>
      <c r="F19" s="87">
        <f t="shared" si="0"/>
        <v>59784.466107030436</v>
      </c>
      <c r="G19" s="88">
        <f t="shared" si="1"/>
        <v>-2717.8120566631696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86">
        <v>1.63</v>
      </c>
      <c r="D20" s="87">
        <f>D17*I20</f>
        <v>59784.466107030436</v>
      </c>
      <c r="E20" s="87">
        <f>E17*I20</f>
        <v>57066.654050367266</v>
      </c>
      <c r="F20" s="87">
        <f t="shared" si="0"/>
        <v>59784.466107030436</v>
      </c>
      <c r="G20" s="88">
        <f t="shared" si="1"/>
        <v>-2717.8120566631696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107465.32864637987</v>
      </c>
      <c r="E21" s="87">
        <f>E17*I21</f>
        <v>102579.93642182583</v>
      </c>
      <c r="F21" s="87">
        <f t="shared" si="0"/>
        <v>107465.32864637987</v>
      </c>
      <c r="G21" s="88">
        <f t="shared" si="1"/>
        <v>-4885.392224554045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252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231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3</v>
      </c>
      <c r="D25" s="91">
        <v>110019.6</v>
      </c>
      <c r="E25" s="91">
        <v>105146.1</v>
      </c>
      <c r="F25" s="91">
        <f>F39</f>
        <v>15591.461</v>
      </c>
      <c r="G25" s="91">
        <f>E25-D25</f>
        <v>-4873.5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0</v>
      </c>
      <c r="D26" s="81">
        <v>0</v>
      </c>
      <c r="E26" s="81">
        <v>0</v>
      </c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1477379.45</v>
      </c>
      <c r="E27" s="81">
        <f>SUM(E28:E31)</f>
        <v>1430829.97</v>
      </c>
      <c r="F27" s="81">
        <f>SUM(F28:F31)</f>
        <v>1477379.45</v>
      </c>
      <c r="G27" s="81">
        <f>SUM(G28:G31)</f>
        <v>-46549.479999999974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7610.46</v>
      </c>
      <c r="E28" s="88">
        <v>7441.89</v>
      </c>
      <c r="F28" s="88">
        <f>D28</f>
        <v>7610.46</v>
      </c>
      <c r="G28" s="88">
        <f>E28-D28</f>
        <v>-168.5699999999997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452842.02</v>
      </c>
      <c r="E29" s="88">
        <v>436413.08</v>
      </c>
      <c r="F29" s="88">
        <f>D29</f>
        <v>452842.02</v>
      </c>
      <c r="G29" s="88">
        <f>E29-D29</f>
        <v>-16428.940000000002</v>
      </c>
    </row>
    <row r="30" spans="1:7" ht="15">
      <c r="A30" s="34" t="s">
        <v>42</v>
      </c>
      <c r="B30" s="34" t="s">
        <v>143</v>
      </c>
      <c r="C30" s="149">
        <v>0</v>
      </c>
      <c r="D30" s="226">
        <v>0</v>
      </c>
      <c r="E30" s="226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1016926.97</v>
      </c>
      <c r="E31" s="88">
        <v>986975</v>
      </c>
      <c r="F31" s="88">
        <f>D31</f>
        <v>1016926.97</v>
      </c>
      <c r="G31" s="88">
        <f>E31-D31</f>
        <v>-29951.969999999972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57582.60999999964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514</v>
      </c>
      <c r="B35" s="68"/>
      <c r="C35" s="68"/>
      <c r="D35" s="73"/>
      <c r="E35" s="74"/>
      <c r="F35" s="74"/>
      <c r="G35" s="151">
        <f>G14+E25-F25</f>
        <v>149230.4324</v>
      </c>
      <c r="H35" s="66"/>
      <c r="I35" s="66"/>
    </row>
    <row r="36" spans="1:11" ht="31.5" customHeight="1">
      <c r="A36" s="321" t="s">
        <v>196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SUM(F40:G42)</f>
        <v>15591.461</v>
      </c>
      <c r="G39" s="351"/>
      <c r="H39" s="270"/>
      <c r="I39" s="271"/>
      <c r="L39" s="120"/>
    </row>
    <row r="40" spans="1:12" ht="15">
      <c r="A40" s="34" t="s">
        <v>16</v>
      </c>
      <c r="B40" s="325" t="s">
        <v>333</v>
      </c>
      <c r="C40" s="327"/>
      <c r="D40" s="123" t="s">
        <v>334</v>
      </c>
      <c r="E40" s="123">
        <v>3</v>
      </c>
      <c r="F40" s="366">
        <v>3900</v>
      </c>
      <c r="G40" s="367"/>
      <c r="H40" s="272"/>
      <c r="I40" s="273"/>
      <c r="L40" s="124"/>
    </row>
    <row r="41" spans="1:12" ht="15">
      <c r="A41" s="34" t="s">
        <v>18</v>
      </c>
      <c r="B41" s="325" t="s">
        <v>663</v>
      </c>
      <c r="C41" s="350"/>
      <c r="D41" s="123"/>
      <c r="E41" s="159" t="s">
        <v>286</v>
      </c>
      <c r="F41" s="355">
        <v>10640</v>
      </c>
      <c r="G41" s="355"/>
      <c r="H41" s="40"/>
      <c r="I41" s="40"/>
      <c r="L41" s="124"/>
    </row>
    <row r="42" spans="1:11" s="71" customFormat="1" ht="15">
      <c r="A42" s="34" t="s">
        <v>20</v>
      </c>
      <c r="B42" s="364" t="s">
        <v>207</v>
      </c>
      <c r="C42" s="365"/>
      <c r="D42" s="129"/>
      <c r="E42" s="129"/>
      <c r="F42" s="355">
        <f>E25*1%</f>
        <v>1051.461</v>
      </c>
      <c r="G42" s="355"/>
      <c r="H42" s="63"/>
      <c r="I42" s="63"/>
      <c r="J42" s="63"/>
      <c r="K42" s="63"/>
    </row>
    <row r="43" s="63" customFormat="1" ht="9" customHeight="1"/>
    <row r="44" spans="1:11" s="63" customFormat="1" ht="15">
      <c r="A44" s="71" t="s">
        <v>55</v>
      </c>
      <c r="B44" s="71"/>
      <c r="C44" s="131" t="s">
        <v>49</v>
      </c>
      <c r="D44" s="71"/>
      <c r="E44" s="71"/>
      <c r="F44" s="71" t="s">
        <v>93</v>
      </c>
      <c r="G44" s="71"/>
      <c r="H44" s="71"/>
      <c r="I44" s="71"/>
      <c r="J44" s="71"/>
      <c r="K44" s="71"/>
    </row>
    <row r="45" spans="1:7" s="63" customFormat="1" ht="15">
      <c r="A45" s="71"/>
      <c r="B45" s="71"/>
      <c r="C45" s="131"/>
      <c r="D45" s="71"/>
      <c r="E45" s="71"/>
      <c r="F45" s="132" t="s">
        <v>296</v>
      </c>
      <c r="G45" s="71"/>
    </row>
    <row r="46" spans="1:10" s="63" customFormat="1" ht="15">
      <c r="A46" s="71" t="s">
        <v>50</v>
      </c>
      <c r="B46" s="71"/>
      <c r="C46" s="131"/>
      <c r="D46" s="71"/>
      <c r="E46" s="71"/>
      <c r="F46" s="71"/>
      <c r="G46" s="71"/>
      <c r="H46" s="164"/>
      <c r="I46" s="164"/>
      <c r="J46" s="164"/>
    </row>
    <row r="47" spans="1:11" ht="15">
      <c r="A47" s="71"/>
      <c r="B47" s="71"/>
      <c r="C47" s="133" t="s">
        <v>51</v>
      </c>
      <c r="D47" s="71"/>
      <c r="E47" s="134"/>
      <c r="F47" s="134"/>
      <c r="G47" s="134"/>
      <c r="H47" s="63"/>
      <c r="I47" s="63"/>
      <c r="J47" s="63"/>
      <c r="K47" s="63"/>
    </row>
    <row r="48" spans="1:11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</row>
  </sheetData>
  <sheetProtection/>
  <mergeCells count="20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2:C42"/>
    <mergeCell ref="F42:G42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7030A0"/>
  </sheetPr>
  <dimension ref="A1:N55"/>
  <sheetViews>
    <sheetView zoomScalePageLayoutView="0" workbookViewId="0" topLeftCell="A15">
      <selection activeCell="G36" sqref="G36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256</v>
      </c>
      <c r="H7" s="64"/>
    </row>
    <row r="8" spans="1:8" s="63" customFormat="1" ht="12.75">
      <c r="A8" s="63" t="s">
        <v>3</v>
      </c>
      <c r="F8" s="64" t="s">
        <v>412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464" t="s">
        <v>419</v>
      </c>
      <c r="B12" s="431"/>
      <c r="C12" s="431"/>
      <c r="D12" s="286">
        <v>123754.35</v>
      </c>
      <c r="E12" s="70"/>
      <c r="F12" s="70"/>
      <c r="G12" s="70"/>
      <c r="H12" s="66"/>
      <c r="I12" s="66"/>
    </row>
    <row r="13" spans="1:9" s="71" customFormat="1" ht="25.5" customHeight="1" thickBot="1">
      <c r="A13" s="67" t="s">
        <v>570</v>
      </c>
      <c r="B13" s="68"/>
      <c r="C13" s="68"/>
      <c r="D13" s="73"/>
      <c r="E13" s="74"/>
      <c r="F13" s="74"/>
      <c r="G13" s="285">
        <f>'[1]Чижевского 23'!$G$36</f>
        <v>40388.96</v>
      </c>
      <c r="H13" s="66"/>
      <c r="I13" s="66"/>
    </row>
    <row r="14" spans="1:9" s="71" customFormat="1" ht="25.5" customHeight="1" thickBot="1">
      <c r="A14" s="67" t="s">
        <v>569</v>
      </c>
      <c r="B14" s="68"/>
      <c r="C14" s="68"/>
      <c r="D14" s="73"/>
      <c r="E14" s="74"/>
      <c r="F14" s="74"/>
      <c r="G14" s="69">
        <f>'[1]Чижевского 23'!$G$35</f>
        <v>29218.610399999998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376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9.969999999999999</v>
      </c>
      <c r="D17" s="80">
        <v>613959.61</v>
      </c>
      <c r="E17" s="80">
        <v>597290.09</v>
      </c>
      <c r="F17" s="80">
        <f aca="true" t="shared" si="0" ref="F17:F23">D17</f>
        <v>613959.61</v>
      </c>
      <c r="G17" s="81">
        <f>E17-D17</f>
        <v>-16669.52000000002</v>
      </c>
      <c r="H17" s="82">
        <f>C17</f>
        <v>9.969999999999999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205679.54838515547</v>
      </c>
      <c r="E18" s="87">
        <f>E17*I18</f>
        <v>200095.17558676028</v>
      </c>
      <c r="F18" s="87">
        <f t="shared" si="0"/>
        <v>205679.54838515547</v>
      </c>
      <c r="G18" s="88">
        <f aca="true" t="shared" si="1" ref="G18:G26">E18-D18</f>
        <v>-5584.372798395198</v>
      </c>
      <c r="H18" s="82">
        <f>C18</f>
        <v>3.34</v>
      </c>
      <c r="I18" s="63">
        <f>H18/H17</f>
        <v>0.3350050150451354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100376.54606820463</v>
      </c>
      <c r="E19" s="87">
        <f>E17*I19</f>
        <v>97651.23838515548</v>
      </c>
      <c r="F19" s="87">
        <f t="shared" si="0"/>
        <v>100376.54606820463</v>
      </c>
      <c r="G19" s="88">
        <f t="shared" si="1"/>
        <v>-2725.307683049148</v>
      </c>
      <c r="H19" s="82">
        <f>C19</f>
        <v>1.63</v>
      </c>
      <c r="I19" s="63">
        <f>H19/H17</f>
        <v>0.16349047141424275</v>
      </c>
    </row>
    <row r="20" spans="1:9" s="63" customFormat="1" ht="15">
      <c r="A20" s="85" t="s">
        <v>20</v>
      </c>
      <c r="B20" s="34" t="s">
        <v>21</v>
      </c>
      <c r="C20" s="86">
        <v>2.07</v>
      </c>
      <c r="D20" s="87">
        <f>D17*I20</f>
        <v>127472.05543630893</v>
      </c>
      <c r="E20" s="87">
        <f>E17*I20</f>
        <v>124011.08187562689</v>
      </c>
      <c r="F20" s="87">
        <f t="shared" si="0"/>
        <v>127472.05543630893</v>
      </c>
      <c r="G20" s="88">
        <f t="shared" si="1"/>
        <v>-3460.973560682047</v>
      </c>
      <c r="H20" s="82">
        <f>C20</f>
        <v>2.07</v>
      </c>
      <c r="I20" s="63">
        <f>H20/H17</f>
        <v>0.20762286860581747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180431.460110331</v>
      </c>
      <c r="E21" s="87">
        <f>E17*I21</f>
        <v>175532.5941524574</v>
      </c>
      <c r="F21" s="87">
        <f t="shared" si="0"/>
        <v>180431.460110331</v>
      </c>
      <c r="G21" s="88">
        <f t="shared" si="1"/>
        <v>-4898.8659578736115</v>
      </c>
      <c r="H21" s="82">
        <f>C21</f>
        <v>2.93</v>
      </c>
      <c r="I21" s="63">
        <f>H21/H17</f>
        <v>0.29388164493480445</v>
      </c>
    </row>
    <row r="22" spans="1:11" s="93" customFormat="1" ht="14.25">
      <c r="A22" s="90" t="s">
        <v>25</v>
      </c>
      <c r="B22" s="90" t="s">
        <v>252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231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787</v>
      </c>
      <c r="C24" s="46">
        <v>3</v>
      </c>
      <c r="D24" s="91">
        <v>185640.9</v>
      </c>
      <c r="E24" s="91">
        <v>181166.73</v>
      </c>
      <c r="F24" s="91">
        <v>0</v>
      </c>
      <c r="G24" s="91">
        <f t="shared" si="1"/>
        <v>-4474.169999999984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3</v>
      </c>
      <c r="D25" s="91">
        <v>184482.6</v>
      </c>
      <c r="E25" s="91">
        <v>180008.43</v>
      </c>
      <c r="F25" s="91">
        <f>F40</f>
        <v>126292.1443</v>
      </c>
      <c r="G25" s="91">
        <f>E25-D25</f>
        <v>-4474.170000000013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39.62</v>
      </c>
      <c r="D26" s="81">
        <v>0</v>
      </c>
      <c r="E26" s="81">
        <v>0</v>
      </c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1318096.54</v>
      </c>
      <c r="E27" s="81">
        <f>SUM(E28:E31)</f>
        <v>1335001.13</v>
      </c>
      <c r="F27" s="81">
        <f>SUM(F28:F31)</f>
        <v>1318096.54</v>
      </c>
      <c r="G27" s="81">
        <f>SUM(G28:G31)</f>
        <v>16904.589999999967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300</v>
      </c>
      <c r="D28" s="88">
        <v>44712.37</v>
      </c>
      <c r="E28" s="88">
        <v>43485.37</v>
      </c>
      <c r="F28" s="88">
        <f>D28</f>
        <v>44712.37</v>
      </c>
      <c r="G28" s="88">
        <f>E28-D28</f>
        <v>-1227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522061.61</v>
      </c>
      <c r="E29" s="88">
        <v>511321.52</v>
      </c>
      <c r="F29" s="88">
        <f>D29</f>
        <v>522061.61</v>
      </c>
      <c r="G29" s="88">
        <f>E29-D29</f>
        <v>-10740.089999999967</v>
      </c>
    </row>
    <row r="30" spans="1:7" ht="15">
      <c r="A30" s="34" t="s">
        <v>42</v>
      </c>
      <c r="B30" s="34" t="s">
        <v>143</v>
      </c>
      <c r="C30" s="149" t="s">
        <v>382</v>
      </c>
      <c r="D30" s="88">
        <v>751322.56</v>
      </c>
      <c r="E30" s="88">
        <v>780194.24</v>
      </c>
      <c r="F30" s="88">
        <f>D30</f>
        <v>751322.56</v>
      </c>
      <c r="G30" s="88">
        <f>E30-D30</f>
        <v>28871.679999999935</v>
      </c>
    </row>
    <row r="31" spans="1:7" ht="15">
      <c r="A31" s="34" t="s">
        <v>41</v>
      </c>
      <c r="B31" s="34" t="s">
        <v>43</v>
      </c>
      <c r="C31" s="149"/>
      <c r="D31" s="88">
        <v>0</v>
      </c>
      <c r="E31" s="88">
        <v>0</v>
      </c>
      <c r="F31" s="88">
        <f>D31</f>
        <v>0</v>
      </c>
      <c r="G31" s="88">
        <f>E31-D31</f>
        <v>0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132467.62000000034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82934.8961</v>
      </c>
      <c r="H35" s="66"/>
      <c r="I35" s="66"/>
    </row>
    <row r="36" spans="1:9" s="71" customFormat="1" ht="15.75" thickBot="1">
      <c r="A36" s="67" t="s">
        <v>576</v>
      </c>
      <c r="B36" s="68"/>
      <c r="C36" s="68"/>
      <c r="D36" s="73"/>
      <c r="E36" s="74"/>
      <c r="F36" s="74"/>
      <c r="G36" s="151">
        <f>G13+E24-F24</f>
        <v>221555.69</v>
      </c>
      <c r="H36" s="66"/>
      <c r="I36" s="66"/>
    </row>
    <row r="37" spans="1:11" ht="31.5" customHeight="1">
      <c r="A37" s="321" t="s">
        <v>196</v>
      </c>
      <c r="B37" s="321"/>
      <c r="C37" s="321"/>
      <c r="D37" s="321"/>
      <c r="E37" s="321"/>
      <c r="F37" s="321"/>
      <c r="G37" s="321"/>
      <c r="H37" s="321"/>
      <c r="I37" s="321"/>
      <c r="J37" s="321"/>
      <c r="K37" s="321"/>
    </row>
    <row r="39" spans="1:12" s="78" customFormat="1" ht="37.5" customHeight="1">
      <c r="A39" s="109" t="s">
        <v>11</v>
      </c>
      <c r="B39" s="340" t="s">
        <v>45</v>
      </c>
      <c r="C39" s="352"/>
      <c r="D39" s="109" t="s">
        <v>172</v>
      </c>
      <c r="E39" s="109" t="s">
        <v>171</v>
      </c>
      <c r="F39" s="340" t="s">
        <v>46</v>
      </c>
      <c r="G39" s="352"/>
      <c r="H39" s="268"/>
      <c r="I39" s="269"/>
      <c r="L39" s="112"/>
    </row>
    <row r="40" spans="1:12" s="119" customFormat="1" ht="15" customHeight="1">
      <c r="A40" s="113" t="s">
        <v>47</v>
      </c>
      <c r="B40" s="342" t="s">
        <v>114</v>
      </c>
      <c r="C40" s="345"/>
      <c r="D40" s="115"/>
      <c r="E40" s="115"/>
      <c r="F40" s="356">
        <f>SUM(F41:G49)</f>
        <v>126292.1443</v>
      </c>
      <c r="G40" s="351"/>
      <c r="H40" s="270"/>
      <c r="I40" s="271"/>
      <c r="L40" s="120"/>
    </row>
    <row r="41" spans="1:12" ht="15">
      <c r="A41" s="34" t="s">
        <v>16</v>
      </c>
      <c r="B41" s="325" t="s">
        <v>409</v>
      </c>
      <c r="C41" s="327"/>
      <c r="D41" s="123" t="s">
        <v>176</v>
      </c>
      <c r="E41" s="123">
        <v>10</v>
      </c>
      <c r="F41" s="366">
        <v>13000</v>
      </c>
      <c r="G41" s="367"/>
      <c r="H41" s="272"/>
      <c r="I41" s="273"/>
      <c r="L41" s="124"/>
    </row>
    <row r="42" spans="1:12" ht="15">
      <c r="A42" s="34" t="s">
        <v>18</v>
      </c>
      <c r="B42" s="325" t="s">
        <v>406</v>
      </c>
      <c r="C42" s="327"/>
      <c r="D42" s="123" t="s">
        <v>176</v>
      </c>
      <c r="E42" s="123">
        <v>10</v>
      </c>
      <c r="F42" s="366">
        <v>10000</v>
      </c>
      <c r="G42" s="367"/>
      <c r="H42" s="40"/>
      <c r="I42" s="40"/>
      <c r="L42" s="124"/>
    </row>
    <row r="43" spans="1:12" ht="15">
      <c r="A43" s="34" t="s">
        <v>20</v>
      </c>
      <c r="B43" s="325" t="s">
        <v>410</v>
      </c>
      <c r="C43" s="327"/>
      <c r="D43" s="123" t="s">
        <v>404</v>
      </c>
      <c r="E43" s="123">
        <v>4</v>
      </c>
      <c r="F43" s="366">
        <v>7200</v>
      </c>
      <c r="G43" s="367"/>
      <c r="H43" s="40"/>
      <c r="I43" s="40"/>
      <c r="L43" s="124"/>
    </row>
    <row r="44" spans="1:12" ht="15">
      <c r="A44" s="34" t="s">
        <v>22</v>
      </c>
      <c r="B44" s="325" t="s">
        <v>406</v>
      </c>
      <c r="C44" s="327"/>
      <c r="D44" s="123" t="s">
        <v>176</v>
      </c>
      <c r="E44" s="123">
        <v>8</v>
      </c>
      <c r="F44" s="366">
        <v>10400</v>
      </c>
      <c r="G44" s="367"/>
      <c r="H44" s="40"/>
      <c r="I44" s="40"/>
      <c r="L44" s="124"/>
    </row>
    <row r="45" spans="1:12" ht="15">
      <c r="A45" s="34" t="s">
        <v>24</v>
      </c>
      <c r="B45" s="325" t="s">
        <v>411</v>
      </c>
      <c r="C45" s="327"/>
      <c r="D45" s="123" t="s">
        <v>173</v>
      </c>
      <c r="E45" s="123">
        <v>1</v>
      </c>
      <c r="F45" s="366">
        <v>11439</v>
      </c>
      <c r="G45" s="367"/>
      <c r="H45" s="40"/>
      <c r="I45" s="40"/>
      <c r="L45" s="124"/>
    </row>
    <row r="46" spans="1:12" ht="15">
      <c r="A46" s="34" t="s">
        <v>106</v>
      </c>
      <c r="B46" s="325" t="s">
        <v>373</v>
      </c>
      <c r="C46" s="327"/>
      <c r="D46" s="123" t="s">
        <v>176</v>
      </c>
      <c r="E46" s="123">
        <v>4.69</v>
      </c>
      <c r="F46" s="366">
        <v>16663.06</v>
      </c>
      <c r="G46" s="367"/>
      <c r="H46" s="40"/>
      <c r="I46" s="40"/>
      <c r="L46" s="124"/>
    </row>
    <row r="47" spans="1:12" ht="15">
      <c r="A47" s="34" t="s">
        <v>107</v>
      </c>
      <c r="B47" s="325" t="s">
        <v>663</v>
      </c>
      <c r="C47" s="350"/>
      <c r="D47" s="123"/>
      <c r="E47" s="159" t="s">
        <v>286</v>
      </c>
      <c r="F47" s="355">
        <v>10640</v>
      </c>
      <c r="G47" s="355"/>
      <c r="H47" s="40"/>
      <c r="I47" s="40"/>
      <c r="L47" s="124"/>
    </row>
    <row r="48" spans="1:12" ht="15">
      <c r="A48" s="34" t="s">
        <v>120</v>
      </c>
      <c r="B48" s="325" t="s">
        <v>695</v>
      </c>
      <c r="C48" s="350"/>
      <c r="D48" s="123"/>
      <c r="E48" s="159"/>
      <c r="F48" s="355">
        <v>45150</v>
      </c>
      <c r="G48" s="355"/>
      <c r="H48" s="40"/>
      <c r="I48" s="40"/>
      <c r="L48" s="124"/>
    </row>
    <row r="49" spans="1:11" s="71" customFormat="1" ht="15">
      <c r="A49" s="34" t="s">
        <v>121</v>
      </c>
      <c r="B49" s="364" t="s">
        <v>207</v>
      </c>
      <c r="C49" s="365"/>
      <c r="D49" s="129"/>
      <c r="E49" s="129"/>
      <c r="F49" s="355">
        <f>E25*1%</f>
        <v>1800.0843</v>
      </c>
      <c r="G49" s="355"/>
      <c r="H49" s="63"/>
      <c r="I49" s="63"/>
      <c r="J49" s="63"/>
      <c r="K49" s="63"/>
    </row>
    <row r="50" s="63" customFormat="1" ht="9" customHeight="1"/>
    <row r="51" spans="1:11" s="63" customFormat="1" ht="15">
      <c r="A51" s="71" t="s">
        <v>55</v>
      </c>
      <c r="B51" s="71"/>
      <c r="C51" s="131" t="s">
        <v>49</v>
      </c>
      <c r="D51" s="71"/>
      <c r="E51" s="71"/>
      <c r="F51" s="71" t="s">
        <v>93</v>
      </c>
      <c r="G51" s="71"/>
      <c r="H51" s="71"/>
      <c r="I51" s="71"/>
      <c r="J51" s="71"/>
      <c r="K51" s="71"/>
    </row>
    <row r="52" spans="1:7" s="63" customFormat="1" ht="15">
      <c r="A52" s="71"/>
      <c r="B52" s="71"/>
      <c r="C52" s="131"/>
      <c r="D52" s="71"/>
      <c r="E52" s="71"/>
      <c r="F52" s="132" t="s">
        <v>296</v>
      </c>
      <c r="G52" s="71"/>
    </row>
    <row r="53" spans="1:10" s="63" customFormat="1" ht="15">
      <c r="A53" s="71" t="s">
        <v>50</v>
      </c>
      <c r="B53" s="71"/>
      <c r="C53" s="131"/>
      <c r="D53" s="71"/>
      <c r="E53" s="71"/>
      <c r="F53" s="71"/>
      <c r="G53" s="71"/>
      <c r="H53" s="164"/>
      <c r="I53" s="164"/>
      <c r="J53" s="164"/>
    </row>
    <row r="54" spans="1:11" ht="15">
      <c r="A54" s="71"/>
      <c r="B54" s="71"/>
      <c r="C54" s="133" t="s">
        <v>51</v>
      </c>
      <c r="D54" s="71"/>
      <c r="E54" s="134"/>
      <c r="F54" s="134"/>
      <c r="G54" s="134"/>
      <c r="H54" s="63"/>
      <c r="I54" s="63"/>
      <c r="J54" s="63"/>
      <c r="K54" s="63"/>
    </row>
    <row r="55" spans="1:11" ht="12.7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</row>
  </sheetData>
  <sheetProtection/>
  <mergeCells count="32">
    <mergeCell ref="B48:C48"/>
    <mergeCell ref="F48:G48"/>
    <mergeCell ref="B47:C47"/>
    <mergeCell ref="F47:G47"/>
    <mergeCell ref="B44:C44"/>
    <mergeCell ref="B45:C45"/>
    <mergeCell ref="F42:G42"/>
    <mergeCell ref="F43:G43"/>
    <mergeCell ref="F44:G44"/>
    <mergeCell ref="F45:G45"/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7:K37"/>
    <mergeCell ref="B39:C39"/>
    <mergeCell ref="F39:G39"/>
    <mergeCell ref="B49:C49"/>
    <mergeCell ref="F49:G49"/>
    <mergeCell ref="B40:C40"/>
    <mergeCell ref="F40:G40"/>
    <mergeCell ref="B41:C41"/>
    <mergeCell ref="F41:G41"/>
    <mergeCell ref="B46:C46"/>
    <mergeCell ref="F46:G46"/>
    <mergeCell ref="B42:C42"/>
    <mergeCell ref="B43:C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7030A0"/>
  </sheetPr>
  <dimension ref="A1:N52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253</v>
      </c>
      <c r="H7" s="64"/>
    </row>
    <row r="8" spans="1:8" s="63" customFormat="1" ht="12.75">
      <c r="A8" s="63" t="s">
        <v>3</v>
      </c>
      <c r="F8" s="64" t="s">
        <v>451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53966.66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'[1]Болотникова 16'!$G$35</f>
        <v>1349.9038000000073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9.53</v>
      </c>
      <c r="D17" s="80">
        <v>403821.92</v>
      </c>
      <c r="E17" s="80">
        <v>399576.16</v>
      </c>
      <c r="F17" s="80">
        <f aca="true" t="shared" si="0" ref="F17:F24">D17</f>
        <v>403821.92</v>
      </c>
      <c r="G17" s="81">
        <f>E17-D17</f>
        <v>-4245.760000000009</v>
      </c>
      <c r="H17" s="82">
        <f>C17</f>
        <v>9.53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141528.3539139559</v>
      </c>
      <c r="E18" s="87">
        <f>E17*I18</f>
        <v>140040.3330954879</v>
      </c>
      <c r="F18" s="87">
        <f t="shared" si="0"/>
        <v>141528.3539139559</v>
      </c>
      <c r="G18" s="88">
        <f aca="true" t="shared" si="1" ref="G18:G26">E18-D18</f>
        <v>-1488.0208184680087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69069.22661070304</v>
      </c>
      <c r="E19" s="87">
        <f>E17*I19</f>
        <v>68343.03681007345</v>
      </c>
      <c r="F19" s="87">
        <f t="shared" si="0"/>
        <v>69069.22661070304</v>
      </c>
      <c r="G19" s="88">
        <f t="shared" si="1"/>
        <v>-726.189800629596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86">
        <v>1.63</v>
      </c>
      <c r="D20" s="87">
        <f>D17*I20</f>
        <v>69069.22661070304</v>
      </c>
      <c r="E20" s="87">
        <f>E17*I20</f>
        <v>68343.03681007345</v>
      </c>
      <c r="F20" s="87">
        <f t="shared" si="0"/>
        <v>69069.22661070304</v>
      </c>
      <c r="G20" s="88">
        <f t="shared" si="1"/>
        <v>-726.189800629596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124155.112864638</v>
      </c>
      <c r="E21" s="87">
        <f>E17*I21</f>
        <v>122849.75328436517</v>
      </c>
      <c r="F21" s="87">
        <f t="shared" si="0"/>
        <v>124155.112864638</v>
      </c>
      <c r="G21" s="88">
        <f t="shared" si="1"/>
        <v>-1305.3595802728232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252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231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30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1.8</v>
      </c>
      <c r="D25" s="91">
        <v>76257.72</v>
      </c>
      <c r="E25" s="91">
        <v>75889.83</v>
      </c>
      <c r="F25" s="91">
        <f>F39</f>
        <v>68403.9583</v>
      </c>
      <c r="G25" s="91">
        <f>E25-D25</f>
        <v>-367.8899999999994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39.62</v>
      </c>
      <c r="D26" s="94">
        <v>0</v>
      </c>
      <c r="E26" s="94">
        <v>0</v>
      </c>
      <c r="F26" s="94">
        <f>D26</f>
        <v>0</v>
      </c>
      <c r="G26" s="94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1807821.65</v>
      </c>
      <c r="E27" s="81">
        <f>SUM(E28:E31)</f>
        <v>1799954.26</v>
      </c>
      <c r="F27" s="81">
        <f>SUM(F28:F31)</f>
        <v>1807821.65</v>
      </c>
      <c r="G27" s="81">
        <f>SUM(G28:G31)</f>
        <v>-7867.389999999999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 t="s">
        <v>408</v>
      </c>
      <c r="D28" s="88">
        <v>50440.56</v>
      </c>
      <c r="E28" s="88">
        <v>50196.05</v>
      </c>
      <c r="F28" s="88">
        <f>D28</f>
        <v>50440.56</v>
      </c>
      <c r="G28" s="88">
        <f>E28-D28</f>
        <v>-244.50999999999476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557730.11</v>
      </c>
      <c r="E29" s="88">
        <v>558694.28</v>
      </c>
      <c r="F29" s="88">
        <f>D29</f>
        <v>557730.11</v>
      </c>
      <c r="G29" s="88">
        <f>E29-D29</f>
        <v>964.1700000000419</v>
      </c>
    </row>
    <row r="30" spans="1:7" ht="15">
      <c r="A30" s="34" t="s">
        <v>42</v>
      </c>
      <c r="B30" s="34" t="s">
        <v>143</v>
      </c>
      <c r="C30" s="149">
        <v>0</v>
      </c>
      <c r="D30" s="226">
        <v>0</v>
      </c>
      <c r="E30" s="226">
        <v>0</v>
      </c>
      <c r="F30" s="88">
        <f>D30</f>
        <v>0</v>
      </c>
      <c r="G30" s="88">
        <f>E30-D30</f>
        <v>0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1199650.98</v>
      </c>
      <c r="E31" s="88">
        <v>1191063.93</v>
      </c>
      <c r="F31" s="88">
        <f>D31</f>
        <v>1199650.98</v>
      </c>
      <c r="G31" s="88">
        <f>E31-D31</f>
        <v>-8587.050000000047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66447.69999999972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8835.775500000018</v>
      </c>
      <c r="H35" s="66"/>
      <c r="I35" s="66"/>
    </row>
    <row r="36" spans="1:11" ht="31.5" customHeight="1">
      <c r="A36" s="321" t="s">
        <v>196</v>
      </c>
      <c r="B36" s="321"/>
      <c r="C36" s="321"/>
      <c r="D36" s="321"/>
      <c r="E36" s="321"/>
      <c r="F36" s="321"/>
      <c r="G36" s="321"/>
      <c r="H36" s="321"/>
      <c r="I36" s="321"/>
      <c r="J36" s="321"/>
      <c r="K36" s="321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SUM(F40:G46)</f>
        <v>68403.9583</v>
      </c>
      <c r="G39" s="351"/>
      <c r="H39" s="270"/>
      <c r="I39" s="271"/>
      <c r="L39" s="120"/>
    </row>
    <row r="40" spans="1:12" ht="15">
      <c r="A40" s="34" t="s">
        <v>16</v>
      </c>
      <c r="B40" s="325" t="s">
        <v>452</v>
      </c>
      <c r="C40" s="327"/>
      <c r="D40" s="123" t="s">
        <v>266</v>
      </c>
      <c r="E40" s="123">
        <v>0.128</v>
      </c>
      <c r="F40" s="366">
        <v>5822</v>
      </c>
      <c r="G40" s="367"/>
      <c r="H40" s="272"/>
      <c r="I40" s="273"/>
      <c r="L40" s="124"/>
    </row>
    <row r="41" spans="1:12" ht="15">
      <c r="A41" s="34" t="s">
        <v>18</v>
      </c>
      <c r="B41" s="325" t="s">
        <v>453</v>
      </c>
      <c r="C41" s="327"/>
      <c r="D41" s="123" t="s">
        <v>265</v>
      </c>
      <c r="E41" s="123">
        <v>0.04</v>
      </c>
      <c r="F41" s="366">
        <v>6561</v>
      </c>
      <c r="G41" s="367"/>
      <c r="H41" s="40"/>
      <c r="I41" s="40"/>
      <c r="L41" s="124"/>
    </row>
    <row r="42" spans="1:12" ht="15">
      <c r="A42" s="34" t="s">
        <v>20</v>
      </c>
      <c r="B42" s="325" t="s">
        <v>505</v>
      </c>
      <c r="C42" s="327"/>
      <c r="D42" s="123" t="s">
        <v>173</v>
      </c>
      <c r="E42" s="123">
        <v>2</v>
      </c>
      <c r="F42" s="366">
        <v>20649</v>
      </c>
      <c r="G42" s="367"/>
      <c r="H42" s="40"/>
      <c r="I42" s="40"/>
      <c r="L42" s="124"/>
    </row>
    <row r="43" spans="1:12" ht="15">
      <c r="A43" s="34" t="s">
        <v>22</v>
      </c>
      <c r="B43" s="325" t="s">
        <v>506</v>
      </c>
      <c r="C43" s="327"/>
      <c r="D43" s="123" t="s">
        <v>173</v>
      </c>
      <c r="E43" s="123">
        <v>1</v>
      </c>
      <c r="F43" s="366">
        <v>6750</v>
      </c>
      <c r="G43" s="367"/>
      <c r="H43" s="40"/>
      <c r="I43" s="40"/>
      <c r="L43" s="124"/>
    </row>
    <row r="44" spans="1:12" ht="15">
      <c r="A44" s="34" t="s">
        <v>24</v>
      </c>
      <c r="B44" s="325" t="s">
        <v>373</v>
      </c>
      <c r="C44" s="327"/>
      <c r="D44" s="123" t="s">
        <v>176</v>
      </c>
      <c r="E44" s="123">
        <v>4.69</v>
      </c>
      <c r="F44" s="366">
        <v>16663.06</v>
      </c>
      <c r="G44" s="367"/>
      <c r="H44" s="40"/>
      <c r="I44" s="40"/>
      <c r="L44" s="124"/>
    </row>
    <row r="45" spans="1:12" ht="15">
      <c r="A45" s="34" t="s">
        <v>106</v>
      </c>
      <c r="B45" s="325" t="s">
        <v>663</v>
      </c>
      <c r="C45" s="350"/>
      <c r="D45" s="123"/>
      <c r="E45" s="159" t="s">
        <v>286</v>
      </c>
      <c r="F45" s="355">
        <v>11200</v>
      </c>
      <c r="G45" s="355"/>
      <c r="H45" s="40"/>
      <c r="I45" s="40"/>
      <c r="L45" s="124"/>
    </row>
    <row r="46" spans="1:11" s="71" customFormat="1" ht="15">
      <c r="A46" s="34" t="s">
        <v>107</v>
      </c>
      <c r="B46" s="364" t="s">
        <v>207</v>
      </c>
      <c r="C46" s="365"/>
      <c r="D46" s="129"/>
      <c r="E46" s="129"/>
      <c r="F46" s="355">
        <f>E25*1%</f>
        <v>758.8983000000001</v>
      </c>
      <c r="G46" s="355"/>
      <c r="H46" s="63"/>
      <c r="I46" s="63"/>
      <c r="J46" s="63"/>
      <c r="K46" s="63"/>
    </row>
    <row r="47" s="63" customFormat="1" ht="9" customHeight="1"/>
    <row r="48" spans="1:11" s="63" customFormat="1" ht="15">
      <c r="A48" s="71" t="s">
        <v>55</v>
      </c>
      <c r="B48" s="71"/>
      <c r="C48" s="131" t="s">
        <v>49</v>
      </c>
      <c r="D48" s="71"/>
      <c r="E48" s="71"/>
      <c r="F48" s="71" t="s">
        <v>93</v>
      </c>
      <c r="G48" s="71"/>
      <c r="H48" s="71"/>
      <c r="I48" s="71"/>
      <c r="J48" s="71"/>
      <c r="K48" s="71"/>
    </row>
    <row r="49" spans="1:7" s="63" customFormat="1" ht="15">
      <c r="A49" s="71"/>
      <c r="B49" s="71"/>
      <c r="C49" s="131"/>
      <c r="D49" s="71"/>
      <c r="E49" s="71"/>
      <c r="F49" s="132" t="s">
        <v>296</v>
      </c>
      <c r="G49" s="71"/>
    </row>
    <row r="50" spans="1:10" s="63" customFormat="1" ht="15">
      <c r="A50" s="71" t="s">
        <v>50</v>
      </c>
      <c r="B50" s="71"/>
      <c r="C50" s="131"/>
      <c r="D50" s="71"/>
      <c r="E50" s="71"/>
      <c r="F50" s="71"/>
      <c r="G50" s="71"/>
      <c r="H50" s="164"/>
      <c r="I50" s="164"/>
      <c r="J50" s="164"/>
    </row>
    <row r="51" spans="1:11" ht="15">
      <c r="A51" s="71"/>
      <c r="B51" s="71"/>
      <c r="C51" s="133" t="s">
        <v>51</v>
      </c>
      <c r="D51" s="71"/>
      <c r="E51" s="134"/>
      <c r="F51" s="134"/>
      <c r="G51" s="134"/>
      <c r="H51" s="63"/>
      <c r="I51" s="63"/>
      <c r="J51" s="63"/>
      <c r="K51" s="63"/>
    </row>
    <row r="52" spans="1:11" ht="12.7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</row>
  </sheetData>
  <sheetProtection/>
  <mergeCells count="28">
    <mergeCell ref="B45:C45"/>
    <mergeCell ref="F45:G45"/>
    <mergeCell ref="B43:C43"/>
    <mergeCell ref="F43:G43"/>
    <mergeCell ref="B44:C44"/>
    <mergeCell ref="F44:G44"/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A36:K36"/>
    <mergeCell ref="B38:C38"/>
    <mergeCell ref="F38:G38"/>
    <mergeCell ref="B42:C42"/>
    <mergeCell ref="F42:G42"/>
    <mergeCell ref="B46:C46"/>
    <mergeCell ref="F46:G46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4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11.421875" style="61" bestFit="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257</v>
      </c>
      <c r="H7" s="64"/>
    </row>
    <row r="8" spans="1:8" s="63" customFormat="1" ht="12.75">
      <c r="A8" s="63" t="s">
        <v>3</v>
      </c>
      <c r="F8" s="64" t="s">
        <v>577</v>
      </c>
      <c r="H8" s="64">
        <v>7250.82</v>
      </c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4">
        <v>195802.28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f>'[1]Плеханова 2 к.2'!$G$35</f>
        <v>14867.7728</v>
      </c>
      <c r="H14" s="66"/>
      <c r="I14" s="66"/>
    </row>
    <row r="15" s="63" customFormat="1" ht="6.75" customHeight="1"/>
    <row r="16" spans="1:10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  <c r="J16" s="78">
        <f>D17/12/C17</f>
        <v>8005.365156143924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9.82</v>
      </c>
      <c r="D17" s="80">
        <v>943352.23</v>
      </c>
      <c r="E17" s="80">
        <v>524381.5</v>
      </c>
      <c r="F17" s="80">
        <f aca="true" t="shared" si="0" ref="F17:F23">D17</f>
        <v>943352.23</v>
      </c>
      <c r="G17" s="81">
        <f>E17-D17</f>
        <v>-418970.73</v>
      </c>
      <c r="H17" s="82">
        <f>C17</f>
        <v>9.82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320855.0354582484</v>
      </c>
      <c r="E18" s="87">
        <f>E17*I18</f>
        <v>178353.78920570263</v>
      </c>
      <c r="F18" s="87">
        <f t="shared" si="0"/>
        <v>320855.0354582484</v>
      </c>
      <c r="G18" s="88">
        <f aca="true" t="shared" si="1" ref="G18:G26">E18-D18</f>
        <v>-142501.24625254577</v>
      </c>
      <c r="H18" s="82">
        <f>C18</f>
        <v>3.34</v>
      </c>
      <c r="I18" s="63">
        <f>H18/H17</f>
        <v>0.340122199592668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156584.94245417512</v>
      </c>
      <c r="E19" s="87">
        <f>E17*I19</f>
        <v>87040.92107942973</v>
      </c>
      <c r="F19" s="87">
        <f t="shared" si="0"/>
        <v>156584.94245417512</v>
      </c>
      <c r="G19" s="88">
        <f t="shared" si="1"/>
        <v>-69544.0213747454</v>
      </c>
      <c r="H19" s="82">
        <f>C19</f>
        <v>1.63</v>
      </c>
      <c r="I19" s="63">
        <f>H19/H17</f>
        <v>0.16598778004073317</v>
      </c>
    </row>
    <row r="20" spans="1:9" s="63" customFormat="1" ht="15">
      <c r="A20" s="85" t="s">
        <v>20</v>
      </c>
      <c r="B20" s="34" t="s">
        <v>21</v>
      </c>
      <c r="C20" s="86">
        <v>1.92</v>
      </c>
      <c r="D20" s="87">
        <f>D17*I20</f>
        <v>184443.613197556</v>
      </c>
      <c r="E20" s="87">
        <f>E17*I20</f>
        <v>102526.72912423626</v>
      </c>
      <c r="F20" s="87">
        <f t="shared" si="0"/>
        <v>184443.613197556</v>
      </c>
      <c r="G20" s="88">
        <f t="shared" si="1"/>
        <v>-81916.88407331974</v>
      </c>
      <c r="H20" s="82">
        <f>C20</f>
        <v>1.92</v>
      </c>
      <c r="I20" s="63">
        <f>H20/H17</f>
        <v>0.1955193482688391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281468.6388900204</v>
      </c>
      <c r="E21" s="87">
        <f>E17*I21</f>
        <v>156460.0605906314</v>
      </c>
      <c r="F21" s="87">
        <f t="shared" si="0"/>
        <v>281468.6388900204</v>
      </c>
      <c r="G21" s="88">
        <f t="shared" si="1"/>
        <v>-125008.57829938899</v>
      </c>
      <c r="H21" s="82">
        <f>C21</f>
        <v>2.93</v>
      </c>
      <c r="I21" s="63">
        <f>H21/H17</f>
        <v>0.2983706720977597</v>
      </c>
    </row>
    <row r="22" spans="1:11" s="93" customFormat="1" ht="14.25">
      <c r="A22" s="90" t="s">
        <v>25</v>
      </c>
      <c r="B22" s="90" t="s">
        <v>252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231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26</v>
      </c>
      <c r="C24" s="46">
        <v>3.72</v>
      </c>
      <c r="D24" s="91">
        <v>358076.35</v>
      </c>
      <c r="E24" s="91">
        <v>198747.27</v>
      </c>
      <c r="F24" s="91">
        <v>0</v>
      </c>
      <c r="G24" s="91">
        <f t="shared" si="1"/>
        <v>-159329.08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v>190394.91</v>
      </c>
      <c r="E25" s="91">
        <v>106333.19</v>
      </c>
      <c r="F25" s="91">
        <f>F39</f>
        <v>330838.62189999997</v>
      </c>
      <c r="G25" s="91">
        <f>E25-D25</f>
        <v>-84061.72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39.62</v>
      </c>
      <c r="D26" s="81">
        <v>0</v>
      </c>
      <c r="E26" s="81">
        <v>0</v>
      </c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4095056.12</v>
      </c>
      <c r="E27" s="81">
        <f>SUM(E28:E31)</f>
        <v>2972284.82</v>
      </c>
      <c r="F27" s="81">
        <f>SUM(F28:F31)</f>
        <v>4095056.12</v>
      </c>
      <c r="G27" s="81">
        <f>SUM(G28:G31)</f>
        <v>-1122771.2999999998</v>
      </c>
      <c r="H27" s="102"/>
      <c r="I27" s="102"/>
      <c r="J27" s="102"/>
      <c r="K27" s="102"/>
    </row>
    <row r="28" spans="1:7" ht="15">
      <c r="A28" s="34" t="s">
        <v>37</v>
      </c>
      <c r="B28" s="34" t="s">
        <v>422</v>
      </c>
      <c r="C28" s="103" t="s">
        <v>323</v>
      </c>
      <c r="D28" s="88">
        <v>1305572.24</v>
      </c>
      <c r="E28" s="88">
        <v>898356.75</v>
      </c>
      <c r="F28" s="88">
        <f>D28</f>
        <v>1305572.24</v>
      </c>
      <c r="G28" s="88">
        <f>E28-D28</f>
        <v>-407215.49</v>
      </c>
    </row>
    <row r="29" spans="1:7" ht="15">
      <c r="A29" s="34" t="s">
        <v>39</v>
      </c>
      <c r="B29" s="34" t="s">
        <v>142</v>
      </c>
      <c r="C29" s="103" t="s">
        <v>324</v>
      </c>
      <c r="D29" s="88">
        <v>634567.6</v>
      </c>
      <c r="E29" s="88">
        <v>477411.36</v>
      </c>
      <c r="F29" s="88">
        <f>D29</f>
        <v>634567.6</v>
      </c>
      <c r="G29" s="88">
        <f>E29-D29</f>
        <v>-157156.24</v>
      </c>
    </row>
    <row r="30" spans="1:7" ht="15">
      <c r="A30" s="34" t="s">
        <v>42</v>
      </c>
      <c r="B30" s="34" t="s">
        <v>143</v>
      </c>
      <c r="C30" s="149" t="s">
        <v>423</v>
      </c>
      <c r="D30" s="88">
        <v>81426.37</v>
      </c>
      <c r="E30" s="88">
        <v>45172.71</v>
      </c>
      <c r="F30" s="88">
        <f>D30</f>
        <v>81426.37</v>
      </c>
      <c r="G30" s="88">
        <f>E30-D30</f>
        <v>-36253.659999999996</v>
      </c>
    </row>
    <row r="31" spans="1:7" ht="15">
      <c r="A31" s="34" t="s">
        <v>41</v>
      </c>
      <c r="B31" s="34" t="s">
        <v>43</v>
      </c>
      <c r="C31" s="149" t="s">
        <v>383</v>
      </c>
      <c r="D31" s="88">
        <v>2073489.91</v>
      </c>
      <c r="E31" s="88">
        <v>1551344</v>
      </c>
      <c r="F31" s="88">
        <f>D31</f>
        <v>2073489.91</v>
      </c>
      <c r="G31" s="88">
        <f>E31-D31</f>
        <v>-522145.9099999999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1980935.1099999999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11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-209637.65909999996</v>
      </c>
      <c r="H35" s="66"/>
      <c r="I35" s="66"/>
      <c r="K35" s="152"/>
    </row>
    <row r="36" spans="1:11" ht="31.5" customHeight="1">
      <c r="A36" s="443" t="s">
        <v>196</v>
      </c>
      <c r="B36" s="444"/>
      <c r="C36" s="444"/>
      <c r="D36" s="444"/>
      <c r="E36" s="444"/>
      <c r="F36" s="444"/>
      <c r="G36" s="444"/>
      <c r="H36" s="62"/>
      <c r="I36" s="62"/>
      <c r="J36" s="62"/>
      <c r="K36" s="62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426" t="s">
        <v>46</v>
      </c>
      <c r="G38" s="426"/>
      <c r="H38" s="110"/>
      <c r="I38" s="111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436">
        <f>SUM(F40:G43)</f>
        <v>330838.62189999997</v>
      </c>
      <c r="G39" s="437"/>
      <c r="H39" s="117"/>
      <c r="I39" s="118"/>
      <c r="L39" s="120"/>
    </row>
    <row r="40" spans="1:12" ht="15">
      <c r="A40" s="34" t="s">
        <v>16</v>
      </c>
      <c r="B40" s="325" t="s">
        <v>424</v>
      </c>
      <c r="C40" s="327"/>
      <c r="D40" s="123" t="s">
        <v>261</v>
      </c>
      <c r="E40" s="123">
        <v>0.3</v>
      </c>
      <c r="F40" s="355">
        <v>3940.62</v>
      </c>
      <c r="G40" s="355"/>
      <c r="H40" s="40"/>
      <c r="I40" s="40"/>
      <c r="L40" s="124"/>
    </row>
    <row r="41" spans="1:12" ht="15">
      <c r="A41" s="34" t="s">
        <v>18</v>
      </c>
      <c r="B41" s="325" t="s">
        <v>425</v>
      </c>
      <c r="C41" s="327"/>
      <c r="D41" s="123" t="s">
        <v>269</v>
      </c>
      <c r="E41" s="123">
        <v>0.01</v>
      </c>
      <c r="F41" s="355">
        <v>6151.81</v>
      </c>
      <c r="G41" s="355"/>
      <c r="H41" s="40"/>
      <c r="I41" s="40"/>
      <c r="L41" s="124"/>
    </row>
    <row r="42" spans="1:12" ht="15">
      <c r="A42" s="34" t="s">
        <v>20</v>
      </c>
      <c r="B42" s="325" t="s">
        <v>178</v>
      </c>
      <c r="C42" s="327"/>
      <c r="D42" s="123" t="s">
        <v>352</v>
      </c>
      <c r="E42" s="123">
        <v>0.5</v>
      </c>
      <c r="F42" s="355">
        <v>319682.86</v>
      </c>
      <c r="G42" s="355"/>
      <c r="H42" s="40"/>
      <c r="I42" s="40"/>
      <c r="L42" s="124"/>
    </row>
    <row r="43" spans="1:11" s="71" customFormat="1" ht="15">
      <c r="A43" s="34" t="s">
        <v>22</v>
      </c>
      <c r="B43" s="364" t="s">
        <v>207</v>
      </c>
      <c r="C43" s="365"/>
      <c r="D43" s="129"/>
      <c r="E43" s="129"/>
      <c r="F43" s="355">
        <f>E25*1%</f>
        <v>1063.3319000000001</v>
      </c>
      <c r="G43" s="355"/>
      <c r="H43" s="63"/>
      <c r="I43" s="63"/>
      <c r="J43" s="63"/>
      <c r="K43" s="63"/>
    </row>
    <row r="44" s="63" customFormat="1" ht="9" customHeight="1"/>
    <row r="45" spans="1:11" s="63" customFormat="1" ht="15">
      <c r="A45" s="71" t="s">
        <v>55</v>
      </c>
      <c r="B45" s="71"/>
      <c r="C45" s="131" t="s">
        <v>49</v>
      </c>
      <c r="D45" s="71"/>
      <c r="E45" s="71"/>
      <c r="F45" s="71" t="s">
        <v>93</v>
      </c>
      <c r="G45" s="71"/>
      <c r="H45" s="71"/>
      <c r="I45" s="71"/>
      <c r="J45" s="71"/>
      <c r="K45" s="71"/>
    </row>
    <row r="46" spans="1:7" s="63" customFormat="1" ht="15">
      <c r="A46" s="71"/>
      <c r="B46" s="71"/>
      <c r="C46" s="131"/>
      <c r="D46" s="71"/>
      <c r="E46" s="71"/>
      <c r="F46" s="132" t="s">
        <v>296</v>
      </c>
      <c r="G46" s="71"/>
    </row>
    <row r="47" spans="1:10" s="63" customFormat="1" ht="15">
      <c r="A47" s="71" t="s">
        <v>50</v>
      </c>
      <c r="B47" s="71"/>
      <c r="C47" s="131"/>
      <c r="D47" s="71"/>
      <c r="E47" s="71"/>
      <c r="F47" s="71"/>
      <c r="G47" s="71"/>
      <c r="H47" s="164"/>
      <c r="I47" s="164"/>
      <c r="J47" s="164"/>
    </row>
    <row r="48" spans="1:11" ht="15">
      <c r="A48" s="71"/>
      <c r="B48" s="71"/>
      <c r="C48" s="133" t="s">
        <v>51</v>
      </c>
      <c r="D48" s="71"/>
      <c r="E48" s="134"/>
      <c r="F48" s="134"/>
      <c r="G48" s="134"/>
      <c r="H48" s="63"/>
      <c r="I48" s="63"/>
      <c r="J48" s="63"/>
      <c r="K48" s="63"/>
    </row>
    <row r="49" spans="1:11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</sheetData>
  <sheetProtection/>
  <mergeCells count="22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B38:C38"/>
    <mergeCell ref="F38:G38"/>
    <mergeCell ref="A36:G36"/>
    <mergeCell ref="B43:C43"/>
    <mergeCell ref="F43:G43"/>
    <mergeCell ref="B39:C39"/>
    <mergeCell ref="F39:G39"/>
    <mergeCell ref="B40:C40"/>
    <mergeCell ref="F40:G40"/>
    <mergeCell ref="B41:C41"/>
    <mergeCell ref="F41:G41"/>
    <mergeCell ref="B42:C42"/>
    <mergeCell ref="F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7030A0"/>
  </sheetPr>
  <dimension ref="A1:N65"/>
  <sheetViews>
    <sheetView zoomScalePageLayoutView="0" workbookViewId="0" topLeftCell="A1">
      <selection activeCell="G37" sqref="G37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436</v>
      </c>
      <c r="H7" s="64"/>
    </row>
    <row r="8" spans="1:8" s="63" customFormat="1" ht="12.75">
      <c r="A8" s="63" t="s">
        <v>3</v>
      </c>
      <c r="F8" s="64" t="s">
        <v>438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669</v>
      </c>
      <c r="B12" s="320"/>
      <c r="C12" s="320"/>
      <c r="D12" s="51">
        <v>0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670</v>
      </c>
      <c r="B14" s="68"/>
      <c r="C14" s="68"/>
      <c r="D14" s="73"/>
      <c r="E14" s="74"/>
      <c r="F14" s="74"/>
      <c r="G14" s="69">
        <v>0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C18+C19+C20+C21+C22</f>
        <v>12.33</v>
      </c>
      <c r="D17" s="80">
        <v>2230349.73</v>
      </c>
      <c r="E17" s="80">
        <v>1875860.17</v>
      </c>
      <c r="F17" s="80">
        <f aca="true" t="shared" si="0" ref="F17:F24">D17</f>
        <v>2230349.73</v>
      </c>
      <c r="G17" s="81">
        <f>E17-D17</f>
        <v>-354489.56000000006</v>
      </c>
      <c r="H17" s="82">
        <f aca="true" t="shared" si="1" ref="H17:H22">C17</f>
        <v>12.33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604166.1069099756</v>
      </c>
      <c r="E18" s="87">
        <f>E17*I18</f>
        <v>508140.54888888885</v>
      </c>
      <c r="F18" s="87">
        <f t="shared" si="0"/>
        <v>604166.1069099756</v>
      </c>
      <c r="G18" s="88">
        <f aca="true" t="shared" si="2" ref="G18:G28">E18-D18</f>
        <v>-96025.55802108679</v>
      </c>
      <c r="H18" s="82">
        <f t="shared" si="1"/>
        <v>3.34</v>
      </c>
      <c r="I18" s="63">
        <f>H18/H17</f>
        <v>0.2708840227088402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294847.531216545</v>
      </c>
      <c r="E19" s="87">
        <f>E17*I19</f>
        <v>247984.75888888884</v>
      </c>
      <c r="F19" s="87">
        <f t="shared" si="0"/>
        <v>294847.531216545</v>
      </c>
      <c r="G19" s="88">
        <f t="shared" si="2"/>
        <v>-46862.77232765613</v>
      </c>
      <c r="H19" s="82">
        <f t="shared" si="1"/>
        <v>1.63</v>
      </c>
      <c r="I19" s="63">
        <f>H19/H17</f>
        <v>0.1321978913219789</v>
      </c>
    </row>
    <row r="20" spans="1:9" s="63" customFormat="1" ht="15">
      <c r="A20" s="85" t="s">
        <v>20</v>
      </c>
      <c r="B20" s="34" t="s">
        <v>21</v>
      </c>
      <c r="C20" s="86">
        <v>1.92</v>
      </c>
      <c r="D20" s="87">
        <f>D17*I20</f>
        <v>347305.06744525547</v>
      </c>
      <c r="E20" s="87">
        <f>E17*I20</f>
        <v>292104.74666666664</v>
      </c>
      <c r="F20" s="87">
        <f t="shared" si="0"/>
        <v>347305.06744525547</v>
      </c>
      <c r="G20" s="88">
        <f t="shared" si="2"/>
        <v>-55200.32077858882</v>
      </c>
      <c r="H20" s="82">
        <f t="shared" si="1"/>
        <v>1.92</v>
      </c>
      <c r="I20" s="63">
        <f>H20/H17</f>
        <v>0.15571776155717762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530002.0039659367</v>
      </c>
      <c r="E21" s="87">
        <f>E17*I21</f>
        <v>445764.01444444444</v>
      </c>
      <c r="F21" s="87">
        <f t="shared" si="0"/>
        <v>530002.0039659367</v>
      </c>
      <c r="G21" s="88">
        <f t="shared" si="2"/>
        <v>-84237.98952149227</v>
      </c>
      <c r="H21" s="82">
        <f t="shared" si="1"/>
        <v>2.93</v>
      </c>
      <c r="I21" s="63">
        <f>H21/H17</f>
        <v>0.23763179237631793</v>
      </c>
    </row>
    <row r="22" spans="1:9" s="63" customFormat="1" ht="15">
      <c r="A22" s="85" t="s">
        <v>24</v>
      </c>
      <c r="B22" s="34" t="s">
        <v>149</v>
      </c>
      <c r="C22" s="86">
        <v>2.51</v>
      </c>
      <c r="D22" s="87">
        <f>D18*I22</f>
        <v>454029.02046228707</v>
      </c>
      <c r="E22" s="87">
        <f>E18*I22</f>
        <v>381866.10111111106</v>
      </c>
      <c r="F22" s="87">
        <f>D22</f>
        <v>454029.02046228707</v>
      </c>
      <c r="G22" s="88">
        <f>E22-D22</f>
        <v>-72162.91935117601</v>
      </c>
      <c r="H22" s="82">
        <f t="shared" si="1"/>
        <v>2.51</v>
      </c>
      <c r="I22" s="63">
        <f>H22/H18</f>
        <v>0.7514970059880239</v>
      </c>
    </row>
    <row r="23" spans="1:11" s="93" customFormat="1" ht="14.25">
      <c r="A23" s="90" t="s">
        <v>25</v>
      </c>
      <c r="B23" s="90" t="s">
        <v>252</v>
      </c>
      <c r="C23" s="46">
        <v>0</v>
      </c>
      <c r="D23" s="91">
        <v>578.67</v>
      </c>
      <c r="E23" s="91">
        <v>128.29</v>
      </c>
      <c r="F23" s="91">
        <f>D23</f>
        <v>578.67</v>
      </c>
      <c r="G23" s="91">
        <f t="shared" si="2"/>
        <v>-450.38</v>
      </c>
      <c r="H23" s="92"/>
      <c r="I23" s="92"/>
      <c r="J23" s="92"/>
      <c r="K23" s="92"/>
    </row>
    <row r="24" spans="1:11" s="93" customFormat="1" ht="14.25">
      <c r="A24" s="90" t="s">
        <v>27</v>
      </c>
      <c r="B24" s="90" t="s">
        <v>231</v>
      </c>
      <c r="C24" s="46">
        <v>0</v>
      </c>
      <c r="D24" s="91">
        <v>0</v>
      </c>
      <c r="E24" s="91">
        <v>0</v>
      </c>
      <c r="F24" s="91">
        <f t="shared" si="0"/>
        <v>0</v>
      </c>
      <c r="G24" s="91">
        <f t="shared" si="2"/>
        <v>0</v>
      </c>
      <c r="H24" s="92"/>
      <c r="I24" s="92"/>
      <c r="J24" s="92"/>
      <c r="K24" s="92"/>
    </row>
    <row r="25" spans="1:11" s="93" customFormat="1" ht="14.25">
      <c r="A25" s="90" t="s">
        <v>29</v>
      </c>
      <c r="B25" s="90" t="s">
        <v>26</v>
      </c>
      <c r="C25" s="46">
        <v>3.72</v>
      </c>
      <c r="D25" s="91">
        <v>670184.59</v>
      </c>
      <c r="E25" s="91">
        <v>564907.51</v>
      </c>
      <c r="F25" s="91">
        <f>D25</f>
        <v>670184.59</v>
      </c>
      <c r="G25" s="91">
        <f t="shared" si="2"/>
        <v>-105277.07999999996</v>
      </c>
      <c r="H25" s="92"/>
      <c r="I25" s="92"/>
      <c r="J25" s="92"/>
      <c r="K25" s="92"/>
    </row>
    <row r="26" spans="1:11" s="93" customFormat="1" ht="14.25">
      <c r="A26" s="90" t="s">
        <v>31</v>
      </c>
      <c r="B26" s="90" t="s">
        <v>119</v>
      </c>
      <c r="C26" s="99">
        <v>1.99</v>
      </c>
      <c r="D26" s="91">
        <v>359117.36</v>
      </c>
      <c r="E26" s="91">
        <v>302756.25</v>
      </c>
      <c r="F26" s="91">
        <f>F41</f>
        <v>185663.1425</v>
      </c>
      <c r="G26" s="91">
        <f>E26-D26</f>
        <v>-56361.109999999986</v>
      </c>
      <c r="H26" s="92"/>
      <c r="I26" s="92"/>
      <c r="J26" s="92"/>
      <c r="K26" s="92"/>
    </row>
    <row r="27" spans="1:11" ht="14.25">
      <c r="A27" s="41" t="s">
        <v>33</v>
      </c>
      <c r="B27" s="41" t="s">
        <v>170</v>
      </c>
      <c r="C27" s="101">
        <v>39.62</v>
      </c>
      <c r="D27" s="94">
        <v>0</v>
      </c>
      <c r="E27" s="94">
        <v>0</v>
      </c>
      <c r="F27" s="94">
        <f>D27</f>
        <v>0</v>
      </c>
      <c r="G27" s="94">
        <f t="shared" si="2"/>
        <v>0</v>
      </c>
      <c r="H27" s="102"/>
      <c r="I27" s="102"/>
      <c r="J27" s="102"/>
      <c r="K27" s="102"/>
    </row>
    <row r="28" spans="1:11" ht="14.25">
      <c r="A28" s="41" t="s">
        <v>35</v>
      </c>
      <c r="B28" s="41" t="s">
        <v>203</v>
      </c>
      <c r="C28" s="101">
        <v>1.32</v>
      </c>
      <c r="D28" s="81">
        <v>239949.41</v>
      </c>
      <c r="E28" s="81">
        <v>202449.5</v>
      </c>
      <c r="F28" s="94">
        <f>F57</f>
        <v>195204</v>
      </c>
      <c r="G28" s="81">
        <f t="shared" si="2"/>
        <v>-37499.91</v>
      </c>
      <c r="H28" s="102"/>
      <c r="I28" s="102"/>
      <c r="J28" s="102"/>
      <c r="K28" s="102"/>
    </row>
    <row r="29" spans="1:11" ht="14.25">
      <c r="A29" s="41" t="s">
        <v>230</v>
      </c>
      <c r="B29" s="41" t="s">
        <v>36</v>
      </c>
      <c r="C29" s="101"/>
      <c r="D29" s="81">
        <f>SUM(D30:D33)</f>
        <v>2099923.05</v>
      </c>
      <c r="E29" s="81">
        <f>SUM(E30:E33)</f>
        <v>1871729.06</v>
      </c>
      <c r="F29" s="81">
        <f>SUM(F30:F33)</f>
        <v>1626293.26</v>
      </c>
      <c r="G29" s="81">
        <f>SUM(G30:G33)</f>
        <v>-228193.98999999993</v>
      </c>
      <c r="H29" s="102"/>
      <c r="I29" s="102"/>
      <c r="J29" s="102"/>
      <c r="K29" s="102"/>
    </row>
    <row r="30" spans="1:7" ht="15">
      <c r="A30" s="34" t="s">
        <v>232</v>
      </c>
      <c r="B30" s="34" t="s">
        <v>174</v>
      </c>
      <c r="C30" s="103" t="s">
        <v>323</v>
      </c>
      <c r="D30" s="88">
        <v>561893.69</v>
      </c>
      <c r="E30" s="88">
        <v>473629.79</v>
      </c>
      <c r="F30" s="88">
        <v>88263.9</v>
      </c>
      <c r="G30" s="88">
        <f>E30-D30</f>
        <v>-88263.89999999997</v>
      </c>
    </row>
    <row r="31" spans="1:7" ht="15">
      <c r="A31" s="34" t="s">
        <v>233</v>
      </c>
      <c r="B31" s="34" t="s">
        <v>142</v>
      </c>
      <c r="C31" s="103" t="s">
        <v>324</v>
      </c>
      <c r="D31" s="88">
        <v>1010151.17</v>
      </c>
      <c r="E31" s="88">
        <v>943494.16</v>
      </c>
      <c r="F31" s="88">
        <f>D31</f>
        <v>1010151.17</v>
      </c>
      <c r="G31" s="88">
        <f>E31-D31</f>
        <v>-66657.01000000001</v>
      </c>
    </row>
    <row r="32" spans="1:7" ht="15">
      <c r="A32" s="34" t="s">
        <v>234</v>
      </c>
      <c r="B32" s="55" t="s">
        <v>143</v>
      </c>
      <c r="C32" s="149" t="s">
        <v>437</v>
      </c>
      <c r="D32" s="88">
        <v>527878.19</v>
      </c>
      <c r="E32" s="88">
        <v>454605.11</v>
      </c>
      <c r="F32" s="88">
        <f>D32</f>
        <v>527878.19</v>
      </c>
      <c r="G32" s="88">
        <f>E32-D32</f>
        <v>-73273.07999999996</v>
      </c>
    </row>
    <row r="33" spans="1:7" s="298" customFormat="1" ht="15">
      <c r="A33" s="292" t="s">
        <v>235</v>
      </c>
      <c r="B33" s="292" t="s">
        <v>43</v>
      </c>
      <c r="C33" s="149">
        <v>0</v>
      </c>
      <c r="D33" s="226">
        <v>0</v>
      </c>
      <c r="E33" s="226">
        <v>0</v>
      </c>
      <c r="F33" s="226">
        <f>D33</f>
        <v>0</v>
      </c>
      <c r="G33" s="226">
        <f>E33-D33</f>
        <v>0</v>
      </c>
    </row>
    <row r="34" spans="1:9" s="106" customFormat="1" ht="7.5" customHeight="1" thickBot="1">
      <c r="A34" s="104"/>
      <c r="B34" s="104"/>
      <c r="C34" s="104"/>
      <c r="D34" s="105"/>
      <c r="E34" s="105"/>
      <c r="F34" s="105"/>
      <c r="G34" s="105"/>
      <c r="H34" s="105"/>
      <c r="I34" s="105"/>
    </row>
    <row r="35" spans="1:9" s="71" customFormat="1" ht="15.75" thickBot="1">
      <c r="A35" s="319" t="s">
        <v>420</v>
      </c>
      <c r="B35" s="320"/>
      <c r="C35" s="320"/>
      <c r="D35" s="69">
        <f>D12+D17+D23+D24+D25+D26+D27+D28+D29-E17-E23-E24-E25-E26-E27-E28-E29</f>
        <v>782272.0299999998</v>
      </c>
      <c r="E35" s="70"/>
      <c r="F35" s="70"/>
      <c r="G35" s="70"/>
      <c r="H35" s="66"/>
      <c r="I35" s="66"/>
    </row>
    <row r="36" spans="1:9" s="71" customFormat="1" ht="6" customHeight="1" thickBot="1">
      <c r="A36" s="72"/>
      <c r="B36" s="72"/>
      <c r="C36" s="72"/>
      <c r="D36" s="40"/>
      <c r="E36" s="70"/>
      <c r="F36" s="70"/>
      <c r="G36" s="70"/>
      <c r="H36" s="66"/>
      <c r="I36" s="66"/>
    </row>
    <row r="37" spans="1:9" s="71" customFormat="1" ht="15.75" thickBot="1">
      <c r="A37" s="67" t="s">
        <v>558</v>
      </c>
      <c r="B37" s="68"/>
      <c r="C37" s="68"/>
      <c r="D37" s="73"/>
      <c r="E37" s="74"/>
      <c r="F37" s="74"/>
      <c r="G37" s="151">
        <f>G14+E26-F26</f>
        <v>117093.10750000001</v>
      </c>
      <c r="H37" s="66"/>
      <c r="I37" s="66"/>
    </row>
    <row r="38" spans="1:11" ht="31.5" customHeight="1">
      <c r="A38" s="443" t="s">
        <v>196</v>
      </c>
      <c r="B38" s="444"/>
      <c r="C38" s="444"/>
      <c r="D38" s="444"/>
      <c r="E38" s="444"/>
      <c r="F38" s="444"/>
      <c r="G38" s="444"/>
      <c r="H38" s="62"/>
      <c r="I38" s="62"/>
      <c r="J38" s="62"/>
      <c r="K38" s="62"/>
    </row>
    <row r="40" spans="1:12" s="78" customFormat="1" ht="37.5" customHeight="1">
      <c r="A40" s="109" t="s">
        <v>11</v>
      </c>
      <c r="B40" s="340" t="s">
        <v>45</v>
      </c>
      <c r="C40" s="352"/>
      <c r="D40" s="109" t="s">
        <v>172</v>
      </c>
      <c r="E40" s="109" t="s">
        <v>171</v>
      </c>
      <c r="F40" s="340" t="s">
        <v>46</v>
      </c>
      <c r="G40" s="352"/>
      <c r="H40" s="268"/>
      <c r="I40" s="269"/>
      <c r="L40" s="112"/>
    </row>
    <row r="41" spans="1:12" s="119" customFormat="1" ht="15" customHeight="1">
      <c r="A41" s="113" t="s">
        <v>47</v>
      </c>
      <c r="B41" s="342" t="s">
        <v>114</v>
      </c>
      <c r="C41" s="345"/>
      <c r="D41" s="115"/>
      <c r="E41" s="115"/>
      <c r="F41" s="356">
        <f>SUM(F42:G56)</f>
        <v>185663.1425</v>
      </c>
      <c r="G41" s="351"/>
      <c r="H41" s="270"/>
      <c r="I41" s="271"/>
      <c r="L41" s="120"/>
    </row>
    <row r="42" spans="1:12" ht="15">
      <c r="A42" s="34" t="s">
        <v>16</v>
      </c>
      <c r="B42" s="325" t="s">
        <v>439</v>
      </c>
      <c r="C42" s="327"/>
      <c r="D42" s="123"/>
      <c r="E42" s="123" t="s">
        <v>308</v>
      </c>
      <c r="F42" s="388">
        <v>160</v>
      </c>
      <c r="G42" s="389"/>
      <c r="H42" s="272"/>
      <c r="I42" s="273"/>
      <c r="L42" s="124"/>
    </row>
    <row r="43" spans="1:12" ht="15">
      <c r="A43" s="34" t="s">
        <v>18</v>
      </c>
      <c r="B43" s="325" t="s">
        <v>440</v>
      </c>
      <c r="C43" s="327"/>
      <c r="D43" s="123"/>
      <c r="E43" s="123" t="s">
        <v>441</v>
      </c>
      <c r="F43" s="388">
        <v>6200</v>
      </c>
      <c r="G43" s="389"/>
      <c r="H43" s="40"/>
      <c r="I43" s="40"/>
      <c r="L43" s="124"/>
    </row>
    <row r="44" spans="1:12" ht="15">
      <c r="A44" s="34" t="s">
        <v>20</v>
      </c>
      <c r="B44" s="325" t="s">
        <v>442</v>
      </c>
      <c r="C44" s="327"/>
      <c r="D44" s="123"/>
      <c r="E44" s="123" t="s">
        <v>286</v>
      </c>
      <c r="F44" s="388">
        <v>5705</v>
      </c>
      <c r="G44" s="389"/>
      <c r="H44" s="40"/>
      <c r="I44" s="40"/>
      <c r="L44" s="124"/>
    </row>
    <row r="45" spans="1:12" ht="15">
      <c r="A45" s="34" t="s">
        <v>22</v>
      </c>
      <c r="B45" s="325" t="s">
        <v>443</v>
      </c>
      <c r="C45" s="327"/>
      <c r="D45" s="123" t="s">
        <v>330</v>
      </c>
      <c r="E45" s="123">
        <v>0.12</v>
      </c>
      <c r="F45" s="388">
        <v>20612.6</v>
      </c>
      <c r="G45" s="389"/>
      <c r="H45" s="40"/>
      <c r="I45" s="40"/>
      <c r="L45" s="124"/>
    </row>
    <row r="46" spans="1:12" ht="15">
      <c r="A46" s="34" t="s">
        <v>24</v>
      </c>
      <c r="B46" s="325" t="s">
        <v>444</v>
      </c>
      <c r="C46" s="327"/>
      <c r="D46" s="123" t="s">
        <v>269</v>
      </c>
      <c r="E46" s="123">
        <v>0.01</v>
      </c>
      <c r="F46" s="388">
        <v>506</v>
      </c>
      <c r="G46" s="389"/>
      <c r="H46" s="40"/>
      <c r="I46" s="40"/>
      <c r="L46" s="124"/>
    </row>
    <row r="47" spans="1:12" ht="15">
      <c r="A47" s="34" t="s">
        <v>106</v>
      </c>
      <c r="B47" s="325" t="s">
        <v>445</v>
      </c>
      <c r="C47" s="327"/>
      <c r="D47" s="123" t="s">
        <v>269</v>
      </c>
      <c r="E47" s="123">
        <v>0.01</v>
      </c>
      <c r="F47" s="388">
        <v>9988</v>
      </c>
      <c r="G47" s="389"/>
      <c r="H47" s="40"/>
      <c r="I47" s="40"/>
      <c r="L47" s="124"/>
    </row>
    <row r="48" spans="1:12" ht="15">
      <c r="A48" s="34" t="s">
        <v>107</v>
      </c>
      <c r="B48" s="325" t="s">
        <v>446</v>
      </c>
      <c r="C48" s="327"/>
      <c r="D48" s="123" t="s">
        <v>269</v>
      </c>
      <c r="E48" s="123">
        <v>0.02</v>
      </c>
      <c r="F48" s="388">
        <v>1217</v>
      </c>
      <c r="G48" s="389"/>
      <c r="H48" s="40"/>
      <c r="I48" s="40"/>
      <c r="L48" s="124"/>
    </row>
    <row r="49" spans="1:12" ht="15">
      <c r="A49" s="34" t="s">
        <v>120</v>
      </c>
      <c r="B49" s="325" t="s">
        <v>272</v>
      </c>
      <c r="C49" s="327"/>
      <c r="D49" s="123" t="s">
        <v>330</v>
      </c>
      <c r="E49" s="126">
        <v>0.002</v>
      </c>
      <c r="F49" s="388">
        <v>3264.92</v>
      </c>
      <c r="G49" s="389"/>
      <c r="H49" s="40"/>
      <c r="I49" s="40"/>
      <c r="L49" s="124"/>
    </row>
    <row r="50" spans="1:12" ht="15">
      <c r="A50" s="34" t="s">
        <v>121</v>
      </c>
      <c r="B50" s="325" t="s">
        <v>782</v>
      </c>
      <c r="C50" s="327"/>
      <c r="D50" s="123" t="s">
        <v>269</v>
      </c>
      <c r="E50" s="123">
        <v>0.02</v>
      </c>
      <c r="F50" s="388">
        <v>1217</v>
      </c>
      <c r="G50" s="389"/>
      <c r="H50" s="40"/>
      <c r="I50" s="40"/>
      <c r="L50" s="124"/>
    </row>
    <row r="51" spans="1:12" ht="15">
      <c r="A51" s="34" t="s">
        <v>122</v>
      </c>
      <c r="B51" s="325" t="s">
        <v>447</v>
      </c>
      <c r="C51" s="327"/>
      <c r="D51" s="123" t="s">
        <v>269</v>
      </c>
      <c r="E51" s="123">
        <v>0.01</v>
      </c>
      <c r="F51" s="366">
        <v>9711</v>
      </c>
      <c r="G51" s="367"/>
      <c r="H51" s="40"/>
      <c r="I51" s="40"/>
      <c r="L51" s="124"/>
    </row>
    <row r="52" spans="1:12" ht="15">
      <c r="A52" s="34" t="s">
        <v>144</v>
      </c>
      <c r="B52" s="325" t="s">
        <v>448</v>
      </c>
      <c r="C52" s="327"/>
      <c r="D52" s="123" t="s">
        <v>269</v>
      </c>
      <c r="E52" s="196">
        <v>0.08</v>
      </c>
      <c r="F52" s="366">
        <v>2221.06</v>
      </c>
      <c r="G52" s="367"/>
      <c r="H52" s="40"/>
      <c r="I52" s="40"/>
      <c r="L52" s="124"/>
    </row>
    <row r="53" spans="1:12" ht="15">
      <c r="A53" s="34" t="s">
        <v>147</v>
      </c>
      <c r="B53" s="121" t="s">
        <v>706</v>
      </c>
      <c r="C53" s="122"/>
      <c r="D53" s="123" t="s">
        <v>352</v>
      </c>
      <c r="E53" s="196">
        <v>2.89</v>
      </c>
      <c r="F53" s="366">
        <v>94233</v>
      </c>
      <c r="G53" s="367"/>
      <c r="H53" s="40"/>
      <c r="I53" s="40"/>
      <c r="L53" s="124"/>
    </row>
    <row r="54" spans="1:12" ht="15">
      <c r="A54" s="34" t="s">
        <v>148</v>
      </c>
      <c r="B54" s="325" t="s">
        <v>178</v>
      </c>
      <c r="C54" s="327"/>
      <c r="D54" s="123" t="s">
        <v>177</v>
      </c>
      <c r="E54" s="196">
        <v>40</v>
      </c>
      <c r="F54" s="366">
        <v>23400</v>
      </c>
      <c r="G54" s="367"/>
      <c r="H54" s="40"/>
      <c r="I54" s="40"/>
      <c r="L54" s="124"/>
    </row>
    <row r="55" spans="1:12" ht="15">
      <c r="A55" s="34" t="s">
        <v>578</v>
      </c>
      <c r="B55" s="325" t="s">
        <v>707</v>
      </c>
      <c r="C55" s="327"/>
      <c r="D55" s="123" t="s">
        <v>173</v>
      </c>
      <c r="E55" s="196">
        <v>12</v>
      </c>
      <c r="F55" s="366">
        <v>4200</v>
      </c>
      <c r="G55" s="367"/>
      <c r="H55" s="40"/>
      <c r="I55" s="40"/>
      <c r="L55" s="124"/>
    </row>
    <row r="56" spans="1:12" ht="15">
      <c r="A56" s="34" t="s">
        <v>710</v>
      </c>
      <c r="B56" s="364" t="s">
        <v>207</v>
      </c>
      <c r="C56" s="365"/>
      <c r="D56" s="129"/>
      <c r="E56" s="129"/>
      <c r="F56" s="355">
        <f>E26*1%</f>
        <v>3027.5625</v>
      </c>
      <c r="G56" s="355"/>
      <c r="H56" s="40"/>
      <c r="I56" s="40"/>
      <c r="L56" s="124"/>
    </row>
    <row r="57" spans="1:12" ht="15">
      <c r="A57" s="41" t="s">
        <v>25</v>
      </c>
      <c r="B57" s="312" t="s">
        <v>203</v>
      </c>
      <c r="C57" s="465"/>
      <c r="D57" s="123"/>
      <c r="E57" s="196"/>
      <c r="F57" s="451">
        <f>SUM(F58:F59)</f>
        <v>195204</v>
      </c>
      <c r="G57" s="452"/>
      <c r="H57" s="40"/>
      <c r="I57" s="40"/>
      <c r="L57" s="124"/>
    </row>
    <row r="58" spans="1:12" ht="26.25">
      <c r="A58" s="34" t="s">
        <v>708</v>
      </c>
      <c r="B58" s="325" t="s">
        <v>203</v>
      </c>
      <c r="C58" s="327"/>
      <c r="D58" s="123"/>
      <c r="E58" s="196" t="s">
        <v>486</v>
      </c>
      <c r="F58" s="366">
        <v>135404</v>
      </c>
      <c r="G58" s="367"/>
      <c r="H58" s="40"/>
      <c r="I58" s="40"/>
      <c r="L58" s="124"/>
    </row>
    <row r="59" spans="1:12" ht="15">
      <c r="A59" s="34" t="s">
        <v>709</v>
      </c>
      <c r="B59" s="121" t="s">
        <v>579</v>
      </c>
      <c r="C59" s="122"/>
      <c r="D59" s="123"/>
      <c r="E59" s="196"/>
      <c r="F59" s="366">
        <f>(5750+1265+293.25+166.75)*8</f>
        <v>59800</v>
      </c>
      <c r="G59" s="367"/>
      <c r="H59" s="40"/>
      <c r="I59" s="40"/>
      <c r="L59" s="124"/>
    </row>
    <row r="60" s="63" customFormat="1" ht="9" customHeight="1"/>
    <row r="61" spans="1:11" s="63" customFormat="1" ht="15">
      <c r="A61" s="71" t="s">
        <v>55</v>
      </c>
      <c r="B61" s="71"/>
      <c r="C61" s="131" t="s">
        <v>49</v>
      </c>
      <c r="D61" s="71"/>
      <c r="E61" s="71"/>
      <c r="F61" s="71" t="s">
        <v>93</v>
      </c>
      <c r="G61" s="71"/>
      <c r="H61" s="71"/>
      <c r="I61" s="71"/>
      <c r="J61" s="71"/>
      <c r="K61" s="71"/>
    </row>
    <row r="62" spans="1:7" s="63" customFormat="1" ht="15">
      <c r="A62" s="71"/>
      <c r="B62" s="71"/>
      <c r="C62" s="131"/>
      <c r="D62" s="71"/>
      <c r="E62" s="71"/>
      <c r="F62" s="132" t="s">
        <v>296</v>
      </c>
      <c r="G62" s="71"/>
    </row>
    <row r="63" spans="1:10" s="63" customFormat="1" ht="15">
      <c r="A63" s="71" t="s">
        <v>50</v>
      </c>
      <c r="B63" s="71"/>
      <c r="C63" s="131"/>
      <c r="D63" s="71"/>
      <c r="E63" s="71"/>
      <c r="F63" s="71"/>
      <c r="G63" s="71"/>
      <c r="H63" s="164"/>
      <c r="I63" s="164"/>
      <c r="J63" s="164"/>
    </row>
    <row r="64" spans="1:11" ht="15">
      <c r="A64" s="71"/>
      <c r="B64" s="71"/>
      <c r="C64" s="133" t="s">
        <v>51</v>
      </c>
      <c r="D64" s="71"/>
      <c r="E64" s="134"/>
      <c r="F64" s="134"/>
      <c r="G64" s="134"/>
      <c r="H64" s="63"/>
      <c r="I64" s="63"/>
      <c r="J64" s="63"/>
      <c r="K64" s="63"/>
    </row>
    <row r="65" spans="1:11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</row>
  </sheetData>
  <sheetProtection/>
  <mergeCells count="48">
    <mergeCell ref="F55:G55"/>
    <mergeCell ref="F57:G57"/>
    <mergeCell ref="B56:C56"/>
    <mergeCell ref="F56:G56"/>
    <mergeCell ref="B57:C57"/>
    <mergeCell ref="A1:K1"/>
    <mergeCell ref="A2:K2"/>
    <mergeCell ref="A3:K3"/>
    <mergeCell ref="A5:K5"/>
    <mergeCell ref="A9:K9"/>
    <mergeCell ref="A10:K10"/>
    <mergeCell ref="F59:G59"/>
    <mergeCell ref="F43:G43"/>
    <mergeCell ref="F44:G44"/>
    <mergeCell ref="F45:G45"/>
    <mergeCell ref="F46:G46"/>
    <mergeCell ref="A11:K11"/>
    <mergeCell ref="A12:C12"/>
    <mergeCell ref="A35:C35"/>
    <mergeCell ref="F47:G47"/>
    <mergeCell ref="F48:G48"/>
    <mergeCell ref="A38:G38"/>
    <mergeCell ref="B41:C41"/>
    <mergeCell ref="F41:G41"/>
    <mergeCell ref="B42:C42"/>
    <mergeCell ref="F42:G42"/>
    <mergeCell ref="B47:C47"/>
    <mergeCell ref="B48:C48"/>
    <mergeCell ref="B52:C52"/>
    <mergeCell ref="F52:G52"/>
    <mergeCell ref="B40:C40"/>
    <mergeCell ref="F40:G40"/>
    <mergeCell ref="B43:C43"/>
    <mergeCell ref="B44:C44"/>
    <mergeCell ref="B45:C45"/>
    <mergeCell ref="B46:C46"/>
    <mergeCell ref="F49:G49"/>
    <mergeCell ref="F50:G50"/>
    <mergeCell ref="B49:C49"/>
    <mergeCell ref="B50:C50"/>
    <mergeCell ref="B58:C58"/>
    <mergeCell ref="F58:G58"/>
    <mergeCell ref="B51:C51"/>
    <mergeCell ref="F51:G51"/>
    <mergeCell ref="F53:G53"/>
    <mergeCell ref="B54:C54"/>
    <mergeCell ref="B55:C55"/>
    <mergeCell ref="F54:G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7030A0"/>
  </sheetPr>
  <dimension ref="A1:N49"/>
  <sheetViews>
    <sheetView zoomScalePageLayoutView="0" workbookViewId="0" topLeftCell="A1">
      <selection activeCell="G35" sqref="G35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433</v>
      </c>
      <c r="H7" s="64"/>
    </row>
    <row r="8" spans="1:8" s="63" customFormat="1" ht="12.75">
      <c r="A8" s="63" t="s">
        <v>3</v>
      </c>
      <c r="F8" s="64" t="s">
        <v>435</v>
      </c>
      <c r="H8" s="64"/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419</v>
      </c>
      <c r="B12" s="320"/>
      <c r="C12" s="320"/>
      <c r="D12" s="51">
        <v>0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569</v>
      </c>
      <c r="B14" s="68"/>
      <c r="C14" s="68"/>
      <c r="D14" s="73"/>
      <c r="E14" s="74"/>
      <c r="F14" s="74"/>
      <c r="G14" s="69">
        <v>0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9.53</v>
      </c>
      <c r="D17" s="80">
        <v>287153.46</v>
      </c>
      <c r="E17" s="80">
        <v>283839.54</v>
      </c>
      <c r="F17" s="80">
        <f aca="true" t="shared" si="0" ref="F17:F23">D17</f>
        <v>287153.46</v>
      </c>
      <c r="G17" s="81">
        <f>E17-D17</f>
        <v>-3313.920000000042</v>
      </c>
      <c r="H17" s="82">
        <f>C17</f>
        <v>9.53</v>
      </c>
      <c r="I17" s="83"/>
      <c r="J17" s="83"/>
      <c r="K17" s="83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100639.30287513116</v>
      </c>
      <c r="E18" s="87">
        <f>E17*I18</f>
        <v>99477.86606505771</v>
      </c>
      <c r="F18" s="87">
        <f t="shared" si="0"/>
        <v>100639.30287513116</v>
      </c>
      <c r="G18" s="88">
        <f aca="true" t="shared" si="1" ref="G18:G26">E18-D18</f>
        <v>-1161.4368100734573</v>
      </c>
      <c r="H18" s="82">
        <f>C18</f>
        <v>3.34</v>
      </c>
      <c r="I18" s="63">
        <f>H18/H17</f>
        <v>0.35047219307450156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49114.39032528857</v>
      </c>
      <c r="E19" s="87">
        <f>E17*I19</f>
        <v>48547.58134312697</v>
      </c>
      <c r="F19" s="87">
        <f t="shared" si="0"/>
        <v>49114.39032528857</v>
      </c>
      <c r="G19" s="88">
        <f t="shared" si="1"/>
        <v>-566.8089821616013</v>
      </c>
      <c r="H19" s="82">
        <f>C19</f>
        <v>1.63</v>
      </c>
      <c r="I19" s="63">
        <f>H19/H17</f>
        <v>0.17103882476390347</v>
      </c>
    </row>
    <row r="20" spans="1:9" s="63" customFormat="1" ht="15">
      <c r="A20" s="85" t="s">
        <v>20</v>
      </c>
      <c r="B20" s="34" t="s">
        <v>21</v>
      </c>
      <c r="C20" s="86">
        <v>1.63</v>
      </c>
      <c r="D20" s="87">
        <f>D17*I20</f>
        <v>49114.39032528857</v>
      </c>
      <c r="E20" s="87">
        <f>E17*I20</f>
        <v>48547.58134312697</v>
      </c>
      <c r="F20" s="87">
        <f t="shared" si="0"/>
        <v>49114.39032528857</v>
      </c>
      <c r="G20" s="88">
        <f t="shared" si="1"/>
        <v>-566.8089821616013</v>
      </c>
      <c r="H20" s="82">
        <f>C20</f>
        <v>1.63</v>
      </c>
      <c r="I20" s="63">
        <f>H20/H17</f>
        <v>0.17103882476390347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88285.37647429173</v>
      </c>
      <c r="E21" s="87">
        <f>E17*I21</f>
        <v>87266.51124868836</v>
      </c>
      <c r="F21" s="87">
        <f t="shared" si="0"/>
        <v>88285.37647429173</v>
      </c>
      <c r="G21" s="88">
        <f t="shared" si="1"/>
        <v>-1018.8652256033674</v>
      </c>
      <c r="H21" s="82">
        <f>C21</f>
        <v>2.93</v>
      </c>
      <c r="I21" s="63">
        <f>H21/H17</f>
        <v>0.30745015739769155</v>
      </c>
    </row>
    <row r="22" spans="1:11" s="93" customFormat="1" ht="14.25">
      <c r="A22" s="90" t="s">
        <v>25</v>
      </c>
      <c r="B22" s="90" t="s">
        <v>252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231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26</v>
      </c>
      <c r="C24" s="46">
        <v>0</v>
      </c>
      <c r="D24" s="91">
        <v>0</v>
      </c>
      <c r="E24" s="91">
        <v>0</v>
      </c>
      <c r="F24" s="91"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1.8</v>
      </c>
      <c r="D25" s="91">
        <v>54162.22</v>
      </c>
      <c r="E25" s="91">
        <v>53611.55</v>
      </c>
      <c r="F25" s="91">
        <f>F39</f>
        <v>20516.6755</v>
      </c>
      <c r="G25" s="91">
        <f>E25-D25</f>
        <v>-550.6699999999983</v>
      </c>
      <c r="H25" s="92"/>
      <c r="I25" s="92"/>
      <c r="J25" s="92"/>
      <c r="K25" s="92"/>
    </row>
    <row r="26" spans="1:11" ht="14.25">
      <c r="A26" s="41" t="s">
        <v>33</v>
      </c>
      <c r="B26" s="41" t="s">
        <v>170</v>
      </c>
      <c r="C26" s="101">
        <v>39.62</v>
      </c>
      <c r="D26" s="81">
        <v>0</v>
      </c>
      <c r="E26" s="81">
        <v>0</v>
      </c>
      <c r="F26" s="91">
        <f>D26</f>
        <v>0</v>
      </c>
      <c r="G26" s="81">
        <f t="shared" si="1"/>
        <v>0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284961.8</v>
      </c>
      <c r="E27" s="81">
        <f>SUM(E28:E31)</f>
        <v>284420.19</v>
      </c>
      <c r="F27" s="81">
        <f>SUM(F28:F31)</f>
        <v>284961.8</v>
      </c>
      <c r="G27" s="81">
        <f>SUM(G28:G31)</f>
        <v>-541.610000000007</v>
      </c>
      <c r="H27" s="102"/>
      <c r="I27" s="102"/>
      <c r="J27" s="102"/>
      <c r="K27" s="102"/>
    </row>
    <row r="28" spans="1:7" ht="15">
      <c r="A28" s="34" t="s">
        <v>37</v>
      </c>
      <c r="B28" s="34" t="s">
        <v>174</v>
      </c>
      <c r="C28" s="103">
        <v>5.06</v>
      </c>
      <c r="D28" s="88">
        <v>6526.81</v>
      </c>
      <c r="E28" s="88">
        <v>6436.52</v>
      </c>
      <c r="F28" s="88">
        <f>D28</f>
        <v>6526.81</v>
      </c>
      <c r="G28" s="88">
        <f>E28-D28</f>
        <v>-90.28999999999996</v>
      </c>
    </row>
    <row r="29" spans="1:7" ht="15">
      <c r="A29" s="34" t="s">
        <v>39</v>
      </c>
      <c r="B29" s="34" t="s">
        <v>142</v>
      </c>
      <c r="C29" s="103">
        <v>49.53</v>
      </c>
      <c r="D29" s="88">
        <v>278434.99</v>
      </c>
      <c r="E29" s="88">
        <v>277983.67</v>
      </c>
      <c r="F29" s="88">
        <f>D29</f>
        <v>278434.99</v>
      </c>
      <c r="G29" s="88">
        <f>E29-D29</f>
        <v>-451.320000000007</v>
      </c>
    </row>
    <row r="30" spans="1:7" ht="15">
      <c r="A30" s="34" t="s">
        <v>42</v>
      </c>
      <c r="B30" s="55" t="s">
        <v>143</v>
      </c>
      <c r="C30" s="149"/>
      <c r="D30" s="88"/>
      <c r="E30" s="88"/>
      <c r="F30" s="88"/>
      <c r="G30" s="88"/>
    </row>
    <row r="31" spans="1:7" s="298" customFormat="1" ht="15">
      <c r="A31" s="292" t="s">
        <v>41</v>
      </c>
      <c r="B31" s="292" t="s">
        <v>43</v>
      </c>
      <c r="C31" s="149">
        <v>0</v>
      </c>
      <c r="D31" s="226">
        <v>0</v>
      </c>
      <c r="E31" s="226">
        <v>0</v>
      </c>
      <c r="F31" s="226">
        <f>D31</f>
        <v>0</v>
      </c>
      <c r="G31" s="226">
        <f>E31-D31</f>
        <v>0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4406.200000000012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33094.874500000005</v>
      </c>
      <c r="H35" s="66"/>
      <c r="I35" s="66"/>
    </row>
    <row r="36" spans="1:11" ht="31.5" customHeight="1">
      <c r="A36" s="443" t="s">
        <v>196</v>
      </c>
      <c r="B36" s="444"/>
      <c r="C36" s="444"/>
      <c r="D36" s="444"/>
      <c r="E36" s="444"/>
      <c r="F36" s="444"/>
      <c r="G36" s="444"/>
      <c r="H36" s="62"/>
      <c r="I36" s="62"/>
      <c r="J36" s="62"/>
      <c r="K36" s="62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SUM(F40:G43)</f>
        <v>20516.6755</v>
      </c>
      <c r="G39" s="351"/>
      <c r="H39" s="270"/>
      <c r="I39" s="271"/>
      <c r="L39" s="120"/>
    </row>
    <row r="40" spans="1:12" ht="15">
      <c r="A40" s="34" t="s">
        <v>16</v>
      </c>
      <c r="B40" s="325" t="s">
        <v>434</v>
      </c>
      <c r="C40" s="327"/>
      <c r="D40" s="123" t="s">
        <v>269</v>
      </c>
      <c r="E40" s="123">
        <v>0.02</v>
      </c>
      <c r="F40" s="388">
        <v>12332</v>
      </c>
      <c r="G40" s="389"/>
      <c r="H40" s="272"/>
      <c r="I40" s="273"/>
      <c r="L40" s="124"/>
    </row>
    <row r="41" spans="1:12" ht="15">
      <c r="A41" s="34" t="s">
        <v>18</v>
      </c>
      <c r="B41" s="325" t="s">
        <v>175</v>
      </c>
      <c r="C41" s="327"/>
      <c r="D41" s="123" t="s">
        <v>176</v>
      </c>
      <c r="E41" s="123">
        <v>2</v>
      </c>
      <c r="F41" s="366">
        <v>2600</v>
      </c>
      <c r="G41" s="367"/>
      <c r="H41" s="40"/>
      <c r="I41" s="40"/>
      <c r="L41" s="124"/>
    </row>
    <row r="42" spans="1:12" ht="15">
      <c r="A42" s="34" t="s">
        <v>20</v>
      </c>
      <c r="B42" s="325" t="s">
        <v>272</v>
      </c>
      <c r="C42" s="327"/>
      <c r="D42" s="123" t="s">
        <v>330</v>
      </c>
      <c r="E42" s="196">
        <v>0.003</v>
      </c>
      <c r="F42" s="366">
        <v>5048.56</v>
      </c>
      <c r="G42" s="367"/>
      <c r="H42" s="40"/>
      <c r="I42" s="40"/>
      <c r="L42" s="124"/>
    </row>
    <row r="43" spans="1:11" s="71" customFormat="1" ht="15">
      <c r="A43" s="34" t="s">
        <v>22</v>
      </c>
      <c r="B43" s="364" t="s">
        <v>207</v>
      </c>
      <c r="C43" s="365"/>
      <c r="D43" s="129"/>
      <c r="E43" s="129"/>
      <c r="F43" s="355">
        <f>E25*1%</f>
        <v>536.1155</v>
      </c>
      <c r="G43" s="355"/>
      <c r="H43" s="63"/>
      <c r="I43" s="63"/>
      <c r="J43" s="63"/>
      <c r="K43" s="63"/>
    </row>
    <row r="44" s="63" customFormat="1" ht="9" customHeight="1"/>
    <row r="45" spans="1:11" s="63" customFormat="1" ht="15">
      <c r="A45" s="71" t="s">
        <v>55</v>
      </c>
      <c r="B45" s="71"/>
      <c r="C45" s="131" t="s">
        <v>49</v>
      </c>
      <c r="D45" s="71"/>
      <c r="E45" s="71"/>
      <c r="F45" s="71" t="s">
        <v>93</v>
      </c>
      <c r="G45" s="71"/>
      <c r="H45" s="71"/>
      <c r="I45" s="71"/>
      <c r="J45" s="71"/>
      <c r="K45" s="71"/>
    </row>
    <row r="46" spans="1:7" s="63" customFormat="1" ht="15">
      <c r="A46" s="71"/>
      <c r="B46" s="71"/>
      <c r="C46" s="131"/>
      <c r="D46" s="71"/>
      <c r="E46" s="71"/>
      <c r="F46" s="132" t="s">
        <v>296</v>
      </c>
      <c r="G46" s="71"/>
    </row>
    <row r="47" spans="1:10" s="63" customFormat="1" ht="15">
      <c r="A47" s="71" t="s">
        <v>50</v>
      </c>
      <c r="B47" s="71"/>
      <c r="C47" s="131"/>
      <c r="D47" s="71"/>
      <c r="E47" s="71"/>
      <c r="F47" s="71"/>
      <c r="G47" s="71"/>
      <c r="H47" s="164"/>
      <c r="I47" s="164"/>
      <c r="J47" s="164"/>
    </row>
    <row r="48" spans="1:11" ht="15">
      <c r="A48" s="71"/>
      <c r="B48" s="71"/>
      <c r="C48" s="133" t="s">
        <v>51</v>
      </c>
      <c r="D48" s="71"/>
      <c r="E48" s="134"/>
      <c r="F48" s="134"/>
      <c r="G48" s="134"/>
      <c r="H48" s="63"/>
      <c r="I48" s="63"/>
      <c r="J48" s="63"/>
      <c r="K48" s="63"/>
    </row>
    <row r="49" spans="1:11" ht="12.7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</row>
  </sheetData>
  <sheetProtection/>
  <mergeCells count="22">
    <mergeCell ref="A1:K1"/>
    <mergeCell ref="A2:K2"/>
    <mergeCell ref="A3:K3"/>
    <mergeCell ref="A5:K5"/>
    <mergeCell ref="A9:K9"/>
    <mergeCell ref="A10:K10"/>
    <mergeCell ref="A11:K11"/>
    <mergeCell ref="A12:C12"/>
    <mergeCell ref="A33:C33"/>
    <mergeCell ref="B38:C38"/>
    <mergeCell ref="F38:G38"/>
    <mergeCell ref="A36:G36"/>
    <mergeCell ref="B42:C42"/>
    <mergeCell ref="F42:G42"/>
    <mergeCell ref="B43:C43"/>
    <mergeCell ref="F43:G43"/>
    <mergeCell ref="B39:C39"/>
    <mergeCell ref="F39:G39"/>
    <mergeCell ref="B40:C40"/>
    <mergeCell ref="F40:G40"/>
    <mergeCell ref="B41:C41"/>
    <mergeCell ref="F41:G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7030A0"/>
  </sheetPr>
  <dimension ref="A1:N47"/>
  <sheetViews>
    <sheetView zoomScalePageLayoutView="0" workbookViewId="0" topLeftCell="A1">
      <selection activeCell="A1" sqref="A1:IV16384"/>
    </sheetView>
  </sheetViews>
  <sheetFormatPr defaultColWidth="9.140625" defaultRowHeight="15" outlineLevelCol="1"/>
  <cols>
    <col min="1" max="1" width="6.00390625" style="61" customWidth="1"/>
    <col min="2" max="2" width="48.140625" style="61" customWidth="1"/>
    <col min="3" max="3" width="14.00390625" style="61" customWidth="1"/>
    <col min="4" max="4" width="14.8515625" style="61" customWidth="1"/>
    <col min="5" max="6" width="13.28125" style="61" customWidth="1"/>
    <col min="7" max="7" width="14.57421875" style="61" customWidth="1"/>
    <col min="8" max="9" width="11.57421875" style="61" hidden="1" customWidth="1" outlineLevel="1"/>
    <col min="10" max="10" width="10.140625" style="61" hidden="1" customWidth="1" outlineLevel="1"/>
    <col min="11" max="11" width="10.421875" style="61" customWidth="1" collapsed="1"/>
    <col min="12" max="12" width="9.140625" style="61" customWidth="1"/>
    <col min="13" max="13" width="10.00390625" style="61" bestFit="1" customWidth="1"/>
    <col min="14" max="14" width="15.8515625" style="61" customWidth="1"/>
    <col min="15" max="16384" width="9.140625" style="61" customWidth="1"/>
  </cols>
  <sheetData>
    <row r="1" spans="1:11" ht="12.75">
      <c r="A1" s="328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>
      <c r="A2" s="328" t="s">
        <v>52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3.5" customHeight="1">
      <c r="A3" s="328" t="s">
        <v>380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1" ht="9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6.5" customHeight="1">
      <c r="A5" s="321" t="s">
        <v>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</row>
    <row r="7" spans="1:8" s="63" customFormat="1" ht="16.5" customHeight="1">
      <c r="A7" s="63" t="s">
        <v>2</v>
      </c>
      <c r="F7" s="64" t="s">
        <v>431</v>
      </c>
      <c r="H7" s="64"/>
    </row>
    <row r="8" spans="1:8" s="63" customFormat="1" ht="12.75">
      <c r="A8" s="63" t="s">
        <v>3</v>
      </c>
      <c r="F8" s="64" t="s">
        <v>586</v>
      </c>
      <c r="H8" s="299" t="s">
        <v>587</v>
      </c>
    </row>
    <row r="9" spans="1:11" s="63" customFormat="1" ht="12.75">
      <c r="A9" s="318" t="s">
        <v>8</v>
      </c>
      <c r="B9" s="318"/>
      <c r="C9" s="318"/>
      <c r="D9" s="318"/>
      <c r="E9" s="318"/>
      <c r="F9" s="318"/>
      <c r="G9" s="318"/>
      <c r="H9" s="318"/>
      <c r="I9" s="318"/>
      <c r="J9" s="318"/>
      <c r="K9" s="318"/>
    </row>
    <row r="10" spans="1:11" s="63" customFormat="1" ht="12.75">
      <c r="A10" s="318" t="s">
        <v>9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</row>
    <row r="11" spans="1:11" s="63" customFormat="1" ht="13.5" thickBot="1">
      <c r="A11" s="318" t="s">
        <v>10</v>
      </c>
      <c r="B11" s="318"/>
      <c r="C11" s="318"/>
      <c r="D11" s="318"/>
      <c r="E11" s="318"/>
      <c r="F11" s="318"/>
      <c r="G11" s="318"/>
      <c r="H11" s="318"/>
      <c r="I11" s="318"/>
      <c r="J11" s="318"/>
      <c r="K11" s="318"/>
    </row>
    <row r="12" spans="1:9" s="71" customFormat="1" ht="16.5" customHeight="1" thickBot="1">
      <c r="A12" s="319" t="s">
        <v>665</v>
      </c>
      <c r="B12" s="320"/>
      <c r="C12" s="320"/>
      <c r="D12" s="69">
        <v>0</v>
      </c>
      <c r="E12" s="70"/>
      <c r="F12" s="70"/>
      <c r="G12" s="70"/>
      <c r="H12" s="66"/>
      <c r="I12" s="66"/>
    </row>
    <row r="13" spans="1:9" s="71" customFormat="1" ht="6" customHeight="1" thickBot="1">
      <c r="A13" s="72"/>
      <c r="B13" s="72"/>
      <c r="C13" s="72"/>
      <c r="D13" s="40"/>
      <c r="E13" s="70"/>
      <c r="F13" s="70"/>
      <c r="G13" s="70"/>
      <c r="H13" s="66"/>
      <c r="I13" s="66"/>
    </row>
    <row r="14" spans="1:9" s="71" customFormat="1" ht="15.75" thickBot="1">
      <c r="A14" s="67" t="s">
        <v>666</v>
      </c>
      <c r="B14" s="68"/>
      <c r="C14" s="68"/>
      <c r="D14" s="73"/>
      <c r="E14" s="74"/>
      <c r="F14" s="74"/>
      <c r="G14" s="69">
        <v>0</v>
      </c>
      <c r="H14" s="66"/>
      <c r="I14" s="66"/>
    </row>
    <row r="15" s="63" customFormat="1" ht="6.75" customHeight="1"/>
    <row r="16" spans="1:7" s="78" customFormat="1" ht="38.25">
      <c r="A16" s="76" t="s">
        <v>11</v>
      </c>
      <c r="B16" s="76" t="s">
        <v>12</v>
      </c>
      <c r="C16" s="76" t="s">
        <v>94</v>
      </c>
      <c r="D16" s="76" t="s">
        <v>283</v>
      </c>
      <c r="E16" s="76" t="s">
        <v>284</v>
      </c>
      <c r="F16" s="77" t="s">
        <v>298</v>
      </c>
      <c r="G16" s="76" t="s">
        <v>299</v>
      </c>
    </row>
    <row r="17" spans="1:14" s="63" customFormat="1" ht="14.25">
      <c r="A17" s="79" t="s">
        <v>14</v>
      </c>
      <c r="B17" s="41" t="s">
        <v>15</v>
      </c>
      <c r="C17" s="101">
        <f>C18+C19+C20+C21</f>
        <v>9.969999999999999</v>
      </c>
      <c r="D17" s="80">
        <f>C17*5*637.03</f>
        <v>31755.945499999994</v>
      </c>
      <c r="E17" s="80">
        <v>0</v>
      </c>
      <c r="F17" s="80">
        <f aca="true" t="shared" si="0" ref="F17:F23">D17</f>
        <v>31755.945499999994</v>
      </c>
      <c r="G17" s="81">
        <f>E17-D17</f>
        <v>-31755.945499999994</v>
      </c>
      <c r="H17" s="82">
        <f>C17</f>
        <v>9.969999999999999</v>
      </c>
      <c r="I17" s="83"/>
      <c r="J17" s="83">
        <f>3175.45+(1587.72*13)+(794.11*8)+(529.41*3)</f>
        <v>31756.920000000002</v>
      </c>
      <c r="K17" s="142"/>
      <c r="M17" s="82"/>
      <c r="N17" s="84"/>
    </row>
    <row r="18" spans="1:9" s="63" customFormat="1" ht="15">
      <c r="A18" s="85" t="s">
        <v>16</v>
      </c>
      <c r="B18" s="34" t="s">
        <v>17</v>
      </c>
      <c r="C18" s="86">
        <v>3.34</v>
      </c>
      <c r="D18" s="87">
        <f>D17*I18</f>
        <v>10638.400999999998</v>
      </c>
      <c r="E18" s="87">
        <f>E17*I18</f>
        <v>0</v>
      </c>
      <c r="F18" s="87">
        <f t="shared" si="0"/>
        <v>10638.400999999998</v>
      </c>
      <c r="G18" s="88">
        <f aca="true" t="shared" si="1" ref="G18:G26">E18-D18</f>
        <v>-10638.400999999998</v>
      </c>
      <c r="H18" s="82">
        <f>C18</f>
        <v>3.34</v>
      </c>
      <c r="I18" s="63">
        <f>H18/H17</f>
        <v>0.3350050150451354</v>
      </c>
    </row>
    <row r="19" spans="1:9" s="63" customFormat="1" ht="15">
      <c r="A19" s="85" t="s">
        <v>18</v>
      </c>
      <c r="B19" s="34" t="s">
        <v>19</v>
      </c>
      <c r="C19" s="86">
        <v>1.63</v>
      </c>
      <c r="D19" s="87">
        <f>D17*I19</f>
        <v>5191.7945</v>
      </c>
      <c r="E19" s="87">
        <f>E17*I19</f>
        <v>0</v>
      </c>
      <c r="F19" s="87">
        <f t="shared" si="0"/>
        <v>5191.7945</v>
      </c>
      <c r="G19" s="88">
        <f t="shared" si="1"/>
        <v>-5191.7945</v>
      </c>
      <c r="H19" s="82">
        <f>C19</f>
        <v>1.63</v>
      </c>
      <c r="I19" s="63">
        <f>H19/H17</f>
        <v>0.16349047141424275</v>
      </c>
    </row>
    <row r="20" spans="1:9" s="63" customFormat="1" ht="15">
      <c r="A20" s="85" t="s">
        <v>20</v>
      </c>
      <c r="B20" s="34" t="s">
        <v>21</v>
      </c>
      <c r="C20" s="86">
        <v>2.07</v>
      </c>
      <c r="D20" s="87">
        <f>D17*I20</f>
        <v>6593.260499999999</v>
      </c>
      <c r="E20" s="87">
        <f>E17*I20</f>
        <v>0</v>
      </c>
      <c r="F20" s="87">
        <f t="shared" si="0"/>
        <v>6593.260499999999</v>
      </c>
      <c r="G20" s="88">
        <f t="shared" si="1"/>
        <v>-6593.260499999999</v>
      </c>
      <c r="H20" s="82">
        <f>C20</f>
        <v>2.07</v>
      </c>
      <c r="I20" s="63">
        <f>H20/H17</f>
        <v>0.20762286860581747</v>
      </c>
    </row>
    <row r="21" spans="1:9" s="63" customFormat="1" ht="15">
      <c r="A21" s="85" t="s">
        <v>22</v>
      </c>
      <c r="B21" s="34" t="s">
        <v>23</v>
      </c>
      <c r="C21" s="86">
        <v>2.93</v>
      </c>
      <c r="D21" s="87">
        <f>D17*I21</f>
        <v>9332.4895</v>
      </c>
      <c r="E21" s="87">
        <f>E17*I21</f>
        <v>0</v>
      </c>
      <c r="F21" s="87">
        <f t="shared" si="0"/>
        <v>9332.4895</v>
      </c>
      <c r="G21" s="88">
        <f t="shared" si="1"/>
        <v>-9332.4895</v>
      </c>
      <c r="H21" s="82">
        <f>C21</f>
        <v>2.93</v>
      </c>
      <c r="I21" s="63">
        <f>H21/H17</f>
        <v>0.29388164493480445</v>
      </c>
    </row>
    <row r="22" spans="1:11" s="93" customFormat="1" ht="14.25">
      <c r="A22" s="90" t="s">
        <v>25</v>
      </c>
      <c r="B22" s="90" t="s">
        <v>252</v>
      </c>
      <c r="C22" s="46">
        <v>0</v>
      </c>
      <c r="D22" s="91">
        <v>0</v>
      </c>
      <c r="E22" s="91">
        <v>0</v>
      </c>
      <c r="F22" s="91">
        <v>0</v>
      </c>
      <c r="G22" s="91">
        <f t="shared" si="1"/>
        <v>0</v>
      </c>
      <c r="H22" s="92"/>
      <c r="I22" s="92"/>
      <c r="J22" s="92"/>
      <c r="K22" s="92"/>
    </row>
    <row r="23" spans="1:11" s="93" customFormat="1" ht="14.25">
      <c r="A23" s="90" t="s">
        <v>27</v>
      </c>
      <c r="B23" s="90" t="s">
        <v>231</v>
      </c>
      <c r="C23" s="46">
        <v>0</v>
      </c>
      <c r="D23" s="91">
        <v>0</v>
      </c>
      <c r="E23" s="91">
        <v>0</v>
      </c>
      <c r="F23" s="91">
        <f t="shared" si="0"/>
        <v>0</v>
      </c>
      <c r="G23" s="91">
        <f t="shared" si="1"/>
        <v>0</v>
      </c>
      <c r="H23" s="92"/>
      <c r="I23" s="92"/>
      <c r="J23" s="92"/>
      <c r="K23" s="92"/>
    </row>
    <row r="24" spans="1:11" s="93" customFormat="1" ht="14.25">
      <c r="A24" s="90" t="s">
        <v>29</v>
      </c>
      <c r="B24" s="90" t="s">
        <v>26</v>
      </c>
      <c r="C24" s="46">
        <v>0</v>
      </c>
      <c r="D24" s="91">
        <v>0</v>
      </c>
      <c r="E24" s="91">
        <v>0</v>
      </c>
      <c r="F24" s="91">
        <v>0</v>
      </c>
      <c r="G24" s="91">
        <f t="shared" si="1"/>
        <v>0</v>
      </c>
      <c r="H24" s="92"/>
      <c r="I24" s="92"/>
      <c r="J24" s="92"/>
      <c r="K24" s="92"/>
    </row>
    <row r="25" spans="1:11" s="93" customFormat="1" ht="14.25">
      <c r="A25" s="90" t="s">
        <v>31</v>
      </c>
      <c r="B25" s="90" t="s">
        <v>119</v>
      </c>
      <c r="C25" s="99">
        <v>1.99</v>
      </c>
      <c r="D25" s="91">
        <f>1.99*5*637.03</f>
        <v>6338.4484999999995</v>
      </c>
      <c r="E25" s="91">
        <v>0</v>
      </c>
      <c r="F25" s="91">
        <f>F39</f>
        <v>0</v>
      </c>
      <c r="G25" s="91">
        <f>E25-D25</f>
        <v>-6338.4484999999995</v>
      </c>
      <c r="H25" s="92"/>
      <c r="I25" s="92"/>
      <c r="J25" s="83">
        <f>633.82+(316.91*13)+(158.5*8)+(105.67*3)</f>
        <v>6338.66</v>
      </c>
      <c r="K25" s="92"/>
    </row>
    <row r="26" spans="1:11" ht="14.25">
      <c r="A26" s="41" t="s">
        <v>33</v>
      </c>
      <c r="B26" s="41" t="s">
        <v>170</v>
      </c>
      <c r="C26" s="300" t="s">
        <v>314</v>
      </c>
      <c r="D26" s="81">
        <f>20.14+10.07+5.04+3.36+20.14+10.07+13.42</f>
        <v>82.24</v>
      </c>
      <c r="E26" s="81">
        <v>0</v>
      </c>
      <c r="F26" s="91">
        <f>D26</f>
        <v>82.24</v>
      </c>
      <c r="G26" s="81">
        <f t="shared" si="1"/>
        <v>-82.24</v>
      </c>
      <c r="H26" s="102"/>
      <c r="I26" s="102"/>
      <c r="J26" s="102"/>
      <c r="K26" s="102"/>
    </row>
    <row r="27" spans="1:11" ht="14.25">
      <c r="A27" s="41" t="s">
        <v>35</v>
      </c>
      <c r="B27" s="41" t="s">
        <v>36</v>
      </c>
      <c r="C27" s="101"/>
      <c r="D27" s="81">
        <f>SUM(D28:D31)</f>
        <v>8675.61</v>
      </c>
      <c r="E27" s="81">
        <f>SUM(E28:E31)</f>
        <v>0</v>
      </c>
      <c r="F27" s="81">
        <f>SUM(F28:F31)</f>
        <v>8675.61</v>
      </c>
      <c r="G27" s="81">
        <f>SUM(G28:G31)</f>
        <v>-8675.61</v>
      </c>
      <c r="H27" s="102"/>
      <c r="I27" s="102"/>
      <c r="J27" s="102"/>
      <c r="K27" s="102"/>
    </row>
    <row r="28" spans="1:10" ht="15">
      <c r="A28" s="34" t="s">
        <v>37</v>
      </c>
      <c r="B28" s="34" t="s">
        <v>174</v>
      </c>
      <c r="C28" s="103">
        <v>5.06</v>
      </c>
      <c r="D28" s="88">
        <f>J28</f>
        <v>4041.8999999999996</v>
      </c>
      <c r="E28" s="88">
        <v>0</v>
      </c>
      <c r="F28" s="88">
        <f>D28</f>
        <v>4041.8999999999996</v>
      </c>
      <c r="G28" s="88">
        <f>E28-D28</f>
        <v>-4041.8999999999996</v>
      </c>
      <c r="J28" s="143">
        <f>404.16+(202.08*13)+(101.07*8)+(67.38*3)</f>
        <v>4041.8999999999996</v>
      </c>
    </row>
    <row r="29" spans="1:10" ht="15">
      <c r="A29" s="34" t="s">
        <v>39</v>
      </c>
      <c r="B29" s="34" t="s">
        <v>590</v>
      </c>
      <c r="C29" s="103">
        <v>29.38</v>
      </c>
      <c r="D29" s="88">
        <f>J29</f>
        <v>553.42</v>
      </c>
      <c r="E29" s="88">
        <v>0</v>
      </c>
      <c r="F29" s="88">
        <f>D29</f>
        <v>553.42</v>
      </c>
      <c r="G29" s="88">
        <f>E29-D29</f>
        <v>-553.42</v>
      </c>
      <c r="J29" s="143">
        <f>55.33+(27.67*13)+(13.84*8)+(9.22*3)</f>
        <v>553.42</v>
      </c>
    </row>
    <row r="30" spans="1:10" ht="15">
      <c r="A30" s="34" t="s">
        <v>42</v>
      </c>
      <c r="B30" s="55" t="s">
        <v>589</v>
      </c>
      <c r="C30" s="149">
        <v>176.34</v>
      </c>
      <c r="D30" s="88">
        <f>J30</f>
        <v>3321.2500000000005</v>
      </c>
      <c r="E30" s="88">
        <v>0</v>
      </c>
      <c r="F30" s="88">
        <f>D30</f>
        <v>3321.2500000000005</v>
      </c>
      <c r="G30" s="88">
        <f>E30-D30</f>
        <v>-3321.2500000000005</v>
      </c>
      <c r="J30" s="143">
        <f>332.09+(166.05*13)+(83.05*8)+(55.37*3)</f>
        <v>3321.2500000000005</v>
      </c>
    </row>
    <row r="31" spans="1:10" s="298" customFormat="1" ht="15">
      <c r="A31" s="292" t="s">
        <v>41</v>
      </c>
      <c r="B31" s="292" t="s">
        <v>588</v>
      </c>
      <c r="C31" s="149">
        <v>20.15</v>
      </c>
      <c r="D31" s="226">
        <f>J31</f>
        <v>759.0400000000001</v>
      </c>
      <c r="E31" s="226">
        <v>0</v>
      </c>
      <c r="F31" s="226">
        <f>D31</f>
        <v>759.0400000000001</v>
      </c>
      <c r="G31" s="226">
        <f>E31-D31</f>
        <v>-759.0400000000001</v>
      </c>
      <c r="J31" s="143">
        <f>75.9+(37.95*13)+(18.98*8)+(12.65*3)</f>
        <v>759.0400000000001</v>
      </c>
    </row>
    <row r="32" spans="1:9" s="106" customFormat="1" ht="7.5" customHeight="1" thickBot="1">
      <c r="A32" s="104"/>
      <c r="B32" s="104"/>
      <c r="C32" s="104"/>
      <c r="D32" s="105"/>
      <c r="E32" s="105"/>
      <c r="F32" s="105"/>
      <c r="G32" s="105"/>
      <c r="H32" s="105"/>
      <c r="I32" s="105"/>
    </row>
    <row r="33" spans="1:9" s="71" customFormat="1" ht="15.75" thickBot="1">
      <c r="A33" s="319" t="s">
        <v>420</v>
      </c>
      <c r="B33" s="320"/>
      <c r="C33" s="320"/>
      <c r="D33" s="69">
        <f>D12+D17+D22+D23+D24+D25+D26+D27-E17-E22-E23-E24-E25-E26-E27</f>
        <v>46852.24399999999</v>
      </c>
      <c r="E33" s="70"/>
      <c r="F33" s="70"/>
      <c r="G33" s="70"/>
      <c r="H33" s="66"/>
      <c r="I33" s="66"/>
    </row>
    <row r="34" spans="1:9" s="71" customFormat="1" ht="6" customHeight="1" thickBot="1">
      <c r="A34" s="72"/>
      <c r="B34" s="72"/>
      <c r="C34" s="72"/>
      <c r="D34" s="40"/>
      <c r="E34" s="70"/>
      <c r="F34" s="70"/>
      <c r="G34" s="70"/>
      <c r="H34" s="66"/>
      <c r="I34" s="66"/>
    </row>
    <row r="35" spans="1:9" s="71" customFormat="1" ht="15.75" thickBot="1">
      <c r="A35" s="67" t="s">
        <v>558</v>
      </c>
      <c r="B35" s="68"/>
      <c r="C35" s="68"/>
      <c r="D35" s="73"/>
      <c r="E35" s="74"/>
      <c r="F35" s="74"/>
      <c r="G35" s="151">
        <f>G14+E25-F25</f>
        <v>0</v>
      </c>
      <c r="H35" s="66"/>
      <c r="I35" s="66"/>
    </row>
    <row r="36" spans="1:11" ht="31.5" customHeight="1">
      <c r="A36" s="443" t="s">
        <v>196</v>
      </c>
      <c r="B36" s="444"/>
      <c r="C36" s="444"/>
      <c r="D36" s="444"/>
      <c r="E36" s="444"/>
      <c r="F36" s="444"/>
      <c r="G36" s="444"/>
      <c r="H36" s="62"/>
      <c r="I36" s="62"/>
      <c r="J36" s="62"/>
      <c r="K36" s="62"/>
    </row>
    <row r="38" spans="1:12" s="78" customFormat="1" ht="37.5" customHeight="1">
      <c r="A38" s="109" t="s">
        <v>11</v>
      </c>
      <c r="B38" s="340" t="s">
        <v>45</v>
      </c>
      <c r="C38" s="352"/>
      <c r="D38" s="109" t="s">
        <v>172</v>
      </c>
      <c r="E38" s="109" t="s">
        <v>171</v>
      </c>
      <c r="F38" s="340" t="s">
        <v>46</v>
      </c>
      <c r="G38" s="352"/>
      <c r="H38" s="268"/>
      <c r="I38" s="269"/>
      <c r="L38" s="112"/>
    </row>
    <row r="39" spans="1:12" s="119" customFormat="1" ht="15" customHeight="1">
      <c r="A39" s="113" t="s">
        <v>47</v>
      </c>
      <c r="B39" s="342" t="s">
        <v>114</v>
      </c>
      <c r="C39" s="345"/>
      <c r="D39" s="115"/>
      <c r="E39" s="115"/>
      <c r="F39" s="356">
        <f>SUM(F40:G41)</f>
        <v>0</v>
      </c>
      <c r="G39" s="351"/>
      <c r="H39" s="270"/>
      <c r="I39" s="271"/>
      <c r="L39" s="120"/>
    </row>
    <row r="40" spans="1:12" ht="15">
      <c r="A40" s="34" t="s">
        <v>16</v>
      </c>
      <c r="B40" s="325"/>
      <c r="C40" s="327"/>
      <c r="D40" s="123"/>
      <c r="E40" s="123"/>
      <c r="F40" s="388"/>
      <c r="G40" s="389"/>
      <c r="H40" s="272"/>
      <c r="I40" s="273"/>
      <c r="L40" s="124"/>
    </row>
    <row r="41" spans="1:11" s="71" customFormat="1" ht="15">
      <c r="A41" s="34" t="s">
        <v>147</v>
      </c>
      <c r="B41" s="364" t="s">
        <v>207</v>
      </c>
      <c r="C41" s="365"/>
      <c r="D41" s="129"/>
      <c r="E41" s="129"/>
      <c r="F41" s="355">
        <f>E25*1%</f>
        <v>0</v>
      </c>
      <c r="G41" s="355"/>
      <c r="H41" s="63"/>
      <c r="I41" s="63"/>
      <c r="J41" s="63"/>
      <c r="K41" s="63"/>
    </row>
    <row r="42" s="63" customFormat="1" ht="9" customHeight="1"/>
    <row r="43" spans="1:11" s="63" customFormat="1" ht="15">
      <c r="A43" s="71" t="s">
        <v>55</v>
      </c>
      <c r="B43" s="71"/>
      <c r="C43" s="131" t="s">
        <v>49</v>
      </c>
      <c r="D43" s="71"/>
      <c r="E43" s="71"/>
      <c r="F43" s="71" t="s">
        <v>93</v>
      </c>
      <c r="G43" s="71"/>
      <c r="H43" s="71"/>
      <c r="I43" s="71"/>
      <c r="J43" s="71"/>
      <c r="K43" s="71"/>
    </row>
    <row r="44" spans="1:7" s="63" customFormat="1" ht="15">
      <c r="A44" s="71"/>
      <c r="B44" s="71"/>
      <c r="C44" s="131"/>
      <c r="D44" s="71"/>
      <c r="E44" s="71"/>
      <c r="F44" s="132" t="s">
        <v>296</v>
      </c>
      <c r="G44" s="71"/>
    </row>
    <row r="45" spans="1:10" s="63" customFormat="1" ht="15">
      <c r="A45" s="71" t="s">
        <v>50</v>
      </c>
      <c r="B45" s="71"/>
      <c r="C45" s="131"/>
      <c r="D45" s="71"/>
      <c r="E45" s="71"/>
      <c r="F45" s="71"/>
      <c r="G45" s="71"/>
      <c r="H45" s="164"/>
      <c r="I45" s="164"/>
      <c r="J45" s="164"/>
    </row>
    <row r="46" spans="1:11" ht="15">
      <c r="A46" s="71"/>
      <c r="B46" s="71"/>
      <c r="C46" s="133" t="s">
        <v>51</v>
      </c>
      <c r="D46" s="71"/>
      <c r="E46" s="134"/>
      <c r="F46" s="134"/>
      <c r="G46" s="134"/>
      <c r="H46" s="63"/>
      <c r="I46" s="63"/>
      <c r="J46" s="63"/>
      <c r="K46" s="63"/>
    </row>
    <row r="47" spans="1:11" ht="12.7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</row>
  </sheetData>
  <sheetProtection/>
  <mergeCells count="18">
    <mergeCell ref="B41:C41"/>
    <mergeCell ref="F41:G41"/>
    <mergeCell ref="B39:C39"/>
    <mergeCell ref="F39:G39"/>
    <mergeCell ref="B40:C40"/>
    <mergeCell ref="F40:G40"/>
    <mergeCell ref="A11:K11"/>
    <mergeCell ref="A12:C12"/>
    <mergeCell ref="A33:C33"/>
    <mergeCell ref="A36:G36"/>
    <mergeCell ref="B38:C38"/>
    <mergeCell ref="F38:G38"/>
    <mergeCell ref="A1:K1"/>
    <mergeCell ref="A2:K2"/>
    <mergeCell ref="A3:K3"/>
    <mergeCell ref="A5:K5"/>
    <mergeCell ref="A9:K9"/>
    <mergeCell ref="A10:K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2021-04-06T07:51:31Z</dcterms:modified>
  <cp:category/>
  <cp:version/>
  <cp:contentType/>
  <cp:contentStatus/>
</cp:coreProperties>
</file>