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5970" tabRatio="599" activeTab="0"/>
  </bookViews>
  <sheets>
    <sheet name="Телевизионная 2а" sheetId="1" r:id="rId1"/>
    <sheet name="Пионерская 16" sheetId="2" r:id="rId2"/>
    <sheet name="Пионерская 1318" sheetId="3" r:id="rId3"/>
    <sheet name="Багговута 12" sheetId="4" r:id="rId4"/>
    <sheet name="Пионерская 15" sheetId="5" r:id="rId5"/>
    <sheet name="Социалистическая 3" sheetId="6" r:id="rId6"/>
    <sheet name="Социалистическая 4" sheetId="7" r:id="rId7"/>
    <sheet name="Социалистическая 6 к.1" sheetId="8" r:id="rId8"/>
    <sheet name="Социалистическая 6" sheetId="9" r:id="rId9"/>
    <sheet name="Социалистическая 9" sheetId="10" r:id="rId10"/>
    <sheet name="Социалистическая 12" sheetId="11" r:id="rId11"/>
    <sheet name="Телевизионная 2" sheetId="12" r:id="rId12"/>
    <sheet name="Телевизионная 4" sheetId="13" r:id="rId13"/>
    <sheet name="Чичерина 7а" sheetId="14" r:id="rId14"/>
    <sheet name="Чичерина 8" sheetId="15" r:id="rId15"/>
    <sheet name="Чичерина 16 к. 1" sheetId="16" r:id="rId16"/>
    <sheet name="пер.Чичерина 24" sheetId="17" r:id="rId17"/>
    <sheet name="пер. Чичерина 28" sheetId="18" r:id="rId18"/>
    <sheet name="Калинина 12" sheetId="19" r:id="rId19"/>
    <sheet name="Калинина 18" sheetId="20" r:id="rId20"/>
    <sheet name="Калинина 23" sheetId="21" r:id="rId21"/>
    <sheet name="Пионерская 9" sheetId="22" r:id="rId22"/>
    <sheet name="Высокая 4" sheetId="23" r:id="rId23"/>
    <sheet name="Пухова 15" sheetId="24" r:id="rId24"/>
    <sheet name="Пухова 17" sheetId="25" r:id="rId25"/>
    <sheet name="Калинина 4" sheetId="26" r:id="rId26"/>
    <sheet name="Пионерская 18" sheetId="27" r:id="rId27"/>
    <sheet name="Чичерина 12 к.1" sheetId="28" r:id="rId28"/>
    <sheet name="Телевизионная 6 к.1" sheetId="29" r:id="rId29"/>
    <sheet name="Пионерская 2" sheetId="30" r:id="rId30"/>
    <sheet name="Телевизионная 2 к.1" sheetId="31" r:id="rId31"/>
    <sheet name="Чичерина 16" sheetId="32" r:id="rId32"/>
    <sheet name="Чичерина 19" sheetId="33" r:id="rId33"/>
    <sheet name="Чичерина 22" sheetId="34" r:id="rId34"/>
    <sheet name="Лист1" sheetId="35" state="hidden" r:id="rId35"/>
    <sheet name="Лист2" sheetId="36" state="hidden" r:id="rId36"/>
    <sheet name="Ленина 68,8" sheetId="37" r:id="rId37"/>
    <sheet name="Ленина 67" sheetId="38" r:id="rId38"/>
    <sheet name="Огарева 20" sheetId="39" r:id="rId39"/>
    <sheet name="Пролетарская 40" sheetId="40" r:id="rId40"/>
    <sheet name="Чижевского 4" sheetId="41" r:id="rId41"/>
    <sheet name="Билибина 10" sheetId="42" r:id="rId42"/>
    <sheet name="Ленина 61.5" sheetId="43" r:id="rId43"/>
    <sheet name="Билибина 26" sheetId="44" r:id="rId44"/>
    <sheet name="Билибина 28" sheetId="45" r:id="rId45"/>
    <sheet name="Общее" sheetId="46" state="hidden" r:id="rId46"/>
    <sheet name="Пролетарская 135" sheetId="47" r:id="rId47"/>
    <sheet name="Молодежная 41" sheetId="48" r:id="rId48"/>
    <sheet name="Солнечный б-р 2 общий" sheetId="49" r:id="rId49"/>
    <sheet name="Солнечный б-р 4" sheetId="50" r:id="rId50"/>
    <sheet name="Солнечный б-р 4-1" sheetId="51" r:id="rId51"/>
    <sheet name="Солнечный б-р 4-2" sheetId="52" r:id="rId52"/>
    <sheet name="Аллейная 2" sheetId="53" r:id="rId53"/>
    <sheet name="Телевизионная 10" sheetId="54" r:id="rId54"/>
    <sheet name="Дубрава 1" sheetId="55" r:id="rId55"/>
    <sheet name="Дубрава 1а" sheetId="56" r:id="rId56"/>
    <sheet name="Дубрава 2" sheetId="57" r:id="rId57"/>
    <sheet name="Дубрава 3" sheetId="58" r:id="rId58"/>
    <sheet name="Дубрава 4" sheetId="59" r:id="rId59"/>
    <sheet name="Дубрава 5" sheetId="60" r:id="rId60"/>
    <sheet name="Дубрава 6" sheetId="61" r:id="rId61"/>
    <sheet name="Дубрава 7" sheetId="62" r:id="rId62"/>
    <sheet name="Дубрава 9" sheetId="63" r:id="rId63"/>
    <sheet name="Дубрава10" sheetId="64" r:id="rId64"/>
    <sheet name="Дубрава 11" sheetId="65" r:id="rId65"/>
    <sheet name="Нефтебаза 1" sheetId="66" r:id="rId66"/>
    <sheet name="Нефтебаза 2" sheetId="67" r:id="rId67"/>
    <sheet name="Нефтебаза 3" sheetId="68" r:id="rId68"/>
    <sheet name="Нефтебаза 4" sheetId="69" r:id="rId69"/>
    <sheet name="Нефтебаза 5" sheetId="70" r:id="rId70"/>
    <sheet name="Нефтебаза 6" sheetId="71" r:id="rId71"/>
    <sheet name="Аэропортовская 14" sheetId="72" r:id="rId72"/>
    <sheet name="Дорожная 11 корп1" sheetId="73" r:id="rId73"/>
    <sheet name="Дорожная 11 корп2" sheetId="74" r:id="rId74"/>
    <sheet name="Моторная 30А" sheetId="75" r:id="rId75"/>
    <sheet name="Грабцевское шоссе 160" sheetId="76" r:id="rId76"/>
    <sheet name="Аэропортовская 9" sheetId="77" r:id="rId77"/>
    <sheet name="Хрустальная 52" sheetId="78" r:id="rId78"/>
    <sheet name="Хрустальная 56" sheetId="79" r:id="rId79"/>
    <sheet name="Хрустальная 62" sheetId="80" r:id="rId80"/>
    <sheet name="Хрустальная 66" sheetId="81" r:id="rId81"/>
    <sheet name="Хрустальная 70" sheetId="82" r:id="rId82"/>
    <sheet name="Хрустальная 74" sheetId="83" r:id="rId83"/>
    <sheet name="Молодежная 46" sheetId="84" r:id="rId84"/>
    <sheet name="Молодежная 48" sheetId="85" r:id="rId85"/>
    <sheet name="Грабцевское шоссе 132 корп.1" sheetId="86" r:id="rId86"/>
    <sheet name="Гагарина 9" sheetId="87" r:id="rId87"/>
    <sheet name="Добровольского 14" sheetId="88" r:id="rId88"/>
    <sheet name="Чижевского 12" sheetId="89" r:id="rId89"/>
    <sheet name="Чижевского 23" sheetId="90" r:id="rId90"/>
    <sheet name="Болотникова 16" sheetId="91" r:id="rId91"/>
    <sheet name="Плеханова 2 к.2" sheetId="92" r:id="rId92"/>
    <sheet name="Калинина 15" sheetId="93" r:id="rId93"/>
  </sheets>
  <definedNames>
    <definedName name="_xlnm.Print_Area" localSheetId="3">'Багговута 12'!$A$1:$K$55</definedName>
    <definedName name="_xlnm.Print_Area" localSheetId="47">'Молодежная 41'!$A$1:$L$60</definedName>
    <definedName name="_xlnm.Print_Area" localSheetId="16">'пер.Чичерина 24'!$A$1:$H$59</definedName>
    <definedName name="_xlnm.Print_Area" localSheetId="2">'Пионерская 1318'!$A$1:$K$50</definedName>
    <definedName name="_xlnm.Print_Area" localSheetId="1">'Пионерская 16'!$A$1:$K$51</definedName>
    <definedName name="_xlnm.Print_Area" localSheetId="0">'Телевизионная 2а'!$A$1:$K$55</definedName>
  </definedNames>
  <calcPr fullCalcOnLoad="1"/>
</workbook>
</file>

<file path=xl/sharedStrings.xml><?xml version="1.0" encoding="utf-8"?>
<sst xmlns="http://schemas.openxmlformats.org/spreadsheetml/2006/main" count="7846" uniqueCount="726">
  <si>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</si>
  <si>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</si>
  <si>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</si>
  <si>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</si>
  <si>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</si>
  <si>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</si>
  <si>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</si>
  <si>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</si>
  <si>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</si>
  <si>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</si>
  <si>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</si>
  <si>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</si>
  <si>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</si>
  <si>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</si>
  <si>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</si>
  <si>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</si>
  <si>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</si>
  <si>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</si>
  <si>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</si>
  <si>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</si>
  <si>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</si>
  <si>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</si>
  <si>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</si>
  <si>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</si>
  <si>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</si>
  <si>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</si>
  <si>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</si>
  <si>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</si>
  <si>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</si>
  <si>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</si>
  <si>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</si>
  <si>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</si>
  <si>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</si>
  <si>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</si>
  <si>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</si>
  <si>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</si>
  <si>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</si>
  <si>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</si>
  <si>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</si>
  <si>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</si>
  <si>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</si>
  <si>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</si>
  <si>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</si>
  <si>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</si>
  <si>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</si>
  <si>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</si>
  <si>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</si>
  <si>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</si>
  <si>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</si>
  <si>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</si>
  <si>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</si>
  <si>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</si>
  <si>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</si>
  <si>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</si>
  <si>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</si>
  <si>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</si>
  <si>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</si>
  <si>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</si>
  <si>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     2811,80 кв.м      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</si>
  <si>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</si>
  <si>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</si>
  <si>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</si>
  <si>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</si>
  <si>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</si>
  <si>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</si>
  <si>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     1622,20 кв.м          </t>
  </si>
  <si>
    <t xml:space="preserve">      ул. Социалистическая  д. 12    </t>
  </si>
  <si>
    <t xml:space="preserve">      ул. Телевизионная д. 2     </t>
  </si>
  <si>
    <t xml:space="preserve">          1720,20 кв.м          </t>
  </si>
  <si>
    <t xml:space="preserve">      ул. Телевизионная д. 4    </t>
  </si>
  <si>
    <t xml:space="preserve">      ул. Чичерина  д. 7 а    </t>
  </si>
  <si>
    <t xml:space="preserve">           1282,50 кв.м      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</si>
  <si>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</si>
  <si>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</si>
  <si>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</si>
  <si>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     3122,40 кв.м      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</si>
  <si>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</si>
  <si>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</si>
  <si>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</si>
  <si>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ул. Калинина д. 23   </t>
  </si>
  <si>
    <t xml:space="preserve">           3398,70 кв.м          </t>
  </si>
  <si>
    <t xml:space="preserve">      ул. Пионерская д. 9    </t>
  </si>
  <si>
    <t xml:space="preserve">           2980,10 кв.м      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</si>
  <si>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</si>
  <si>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</si>
  <si>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</si>
  <si>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</si>
  <si>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</si>
  <si>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</si>
  <si>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</si>
  <si>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</si>
  <si>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1393,60 кв.м          </t>
  </si>
  <si>
    <t xml:space="preserve">           900,40 кв.м          </t>
  </si>
  <si>
    <t xml:space="preserve">      ул. Пионерская д. 2    </t>
  </si>
  <si>
    <t xml:space="preserve">           4684,60 кв.м          </t>
  </si>
  <si>
    <t xml:space="preserve">      ул. Чичерина д. 16    </t>
  </si>
  <si>
    <t xml:space="preserve">      ул. Чичерина  д. 22     </t>
  </si>
  <si>
    <t xml:space="preserve">           1961,70 кв.м     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</si>
  <si>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</si>
  <si>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</si>
  <si>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</si>
  <si>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</si>
  <si>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</si>
  <si>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</si>
  <si>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2.1.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</si>
  <si>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</si>
  <si>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</si>
  <si>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</si>
  <si>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</si>
  <si>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</si>
  <si>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</si>
  <si>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</si>
  <si>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</si>
  <si>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</si>
  <si>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</si>
  <si>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</si>
  <si>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1.6.</t>
  </si>
  <si>
    <t>1.7.</t>
  </si>
  <si>
    <t xml:space="preserve">      ул. Ленина д. 68/8    </t>
  </si>
  <si>
    <t xml:space="preserve">           3683,40 кв.м          </t>
  </si>
  <si>
    <t xml:space="preserve">      ул. Ленина д. 67    </t>
  </si>
  <si>
    <t xml:space="preserve">           2467,00 кв.м      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</si>
  <si>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</si>
  <si>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</si>
  <si>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</si>
  <si>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</si>
  <si>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</si>
  <si>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</si>
  <si>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</si>
  <si>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</si>
  <si>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</si>
  <si>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</si>
  <si>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</si>
  <si>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</si>
  <si>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</si>
  <si>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</si>
  <si>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</si>
  <si>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</si>
  <si>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</si>
  <si>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</si>
  <si>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</si>
  <si>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</si>
  <si>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    3803,90 кв.м          </t>
  </si>
  <si>
    <t xml:space="preserve">      ул. Билибина д. 26    </t>
  </si>
  <si>
    <t xml:space="preserve">          3099,30 кв.м          </t>
  </si>
  <si>
    <t xml:space="preserve">      ул. Билибина д. 28   </t>
  </si>
  <si>
    <t xml:space="preserve">         3906,35   кв.м          </t>
  </si>
  <si>
    <t xml:space="preserve">      ул. Ленина д. 61/5      </t>
  </si>
  <si>
    <t>заполнены</t>
  </si>
  <si>
    <t xml:space="preserve">           4710,20 кв.м          </t>
  </si>
  <si>
    <t xml:space="preserve">          2078,60 кв.м          </t>
  </si>
  <si>
    <t xml:space="preserve">      ул. Пролетарская д. 135</t>
  </si>
  <si>
    <t xml:space="preserve">3920.10 кв.м          </t>
  </si>
  <si>
    <t xml:space="preserve">           2425,20 кв.м          </t>
  </si>
  <si>
    <t xml:space="preserve">           1934,20 кв.м          </t>
  </si>
  <si>
    <t xml:space="preserve">           2419.10 кв.м          </t>
  </si>
  <si>
    <t xml:space="preserve">         3067,10 кв.м          </t>
  </si>
  <si>
    <t xml:space="preserve">      ул. Молодежная д. 41</t>
  </si>
  <si>
    <t xml:space="preserve">         7257.10 кв.м          </t>
  </si>
  <si>
    <t xml:space="preserve">      ул. Солнечный бульвар д. 2</t>
  </si>
  <si>
    <t xml:space="preserve">         15242.20 кв.м          </t>
  </si>
  <si>
    <t xml:space="preserve">      ул. Солнечный бульвар д. 4</t>
  </si>
  <si>
    <t xml:space="preserve">         9364.90 кв.м          </t>
  </si>
  <si>
    <t xml:space="preserve">        2290.33 кв.м          </t>
  </si>
  <si>
    <t xml:space="preserve">      ул. Солнечный бульвар д. 4/1</t>
  </si>
  <si>
    <t xml:space="preserve">      ул. Солнечный бульвар д. 4/2</t>
  </si>
  <si>
    <t xml:space="preserve">        5534.00 кв.м          </t>
  </si>
  <si>
    <t>Дополнительные услуги</t>
  </si>
  <si>
    <t>Холодное водоснабжение и водоотведение</t>
  </si>
  <si>
    <t>Ремонт совмещенной кровли</t>
  </si>
  <si>
    <t>Горячее водоснабжение и водоотведение</t>
  </si>
  <si>
    <t>1.11.</t>
  </si>
  <si>
    <t>Водоотведение хвс</t>
  </si>
  <si>
    <t>Водоотведение гвс</t>
  </si>
  <si>
    <t xml:space="preserve">Горячее водоснабжение </t>
  </si>
  <si>
    <t>7.5.</t>
  </si>
  <si>
    <t>7.6.</t>
  </si>
  <si>
    <t>Провайдеры</t>
  </si>
  <si>
    <t xml:space="preserve">           3557,70 кв.м          </t>
  </si>
  <si>
    <t xml:space="preserve">           3503,50 кв.м          </t>
  </si>
  <si>
    <t xml:space="preserve">         2547,98 кв.м          </t>
  </si>
  <si>
    <t xml:space="preserve">          1740,30 кв.м          </t>
  </si>
  <si>
    <t xml:space="preserve">          3411,40 кв.м          </t>
  </si>
  <si>
    <t xml:space="preserve">           4481,30 кв.м          </t>
  </si>
  <si>
    <t xml:space="preserve">          3367,20 кв.м          </t>
  </si>
  <si>
    <t xml:space="preserve">           3217,23 кв.м          </t>
  </si>
  <si>
    <t xml:space="preserve">           2855,50 кв.м          </t>
  </si>
  <si>
    <t xml:space="preserve">           5515,80 кв.м          </t>
  </si>
  <si>
    <t xml:space="preserve">           1599,20 кв.м          </t>
  </si>
  <si>
    <t xml:space="preserve">         1785,20 кв.м          </t>
  </si>
  <si>
    <t xml:space="preserve">        4068,2 кв.м          </t>
  </si>
  <si>
    <t xml:space="preserve">      ул. Аллейная, д.2</t>
  </si>
  <si>
    <t>1.12.</t>
  </si>
  <si>
    <t>1.13.</t>
  </si>
  <si>
    <t>1.14.</t>
  </si>
  <si>
    <t>1.15.</t>
  </si>
  <si>
    <t>Обслуживание крышной котельной</t>
  </si>
  <si>
    <t>Уборка мест общего пользования</t>
  </si>
  <si>
    <t xml:space="preserve"> 4483,60 кв.м          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</si>
  <si>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</si>
  <si>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</si>
  <si>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</si>
  <si>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</si>
  <si>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</si>
  <si>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</si>
  <si>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</si>
  <si>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>Остаток средст на проведение текущего ремонта по состоянию на 31.01.2018 г.</t>
  </si>
  <si>
    <t xml:space="preserve">      ул. Телевизионная д. 10     </t>
  </si>
  <si>
    <t xml:space="preserve">           2417.20 кв.м     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</si>
  <si>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</si>
  <si>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</si>
  <si>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</si>
  <si>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    3268,8 кв.м          </t>
  </si>
  <si>
    <t xml:space="preserve">      ул.Нефтебаза д.3</t>
  </si>
  <si>
    <t xml:space="preserve">          1788 кв.м          </t>
  </si>
  <si>
    <t xml:space="preserve">      ул.Нефтебаза д.5</t>
  </si>
  <si>
    <t xml:space="preserve">          1987,35 кв.м          </t>
  </si>
  <si>
    <t xml:space="preserve">      ул.Аэропортовская д.14</t>
  </si>
  <si>
    <t xml:space="preserve">          5334,30 кв.м          </t>
  </si>
  <si>
    <t xml:space="preserve">      ул.Дорожная д.11 корп.1</t>
  </si>
  <si>
    <t xml:space="preserve">          2547,58 кв.м          </t>
  </si>
  <si>
    <t xml:space="preserve">      ул.Дорожная д.11 корп.2</t>
  </si>
  <si>
    <t xml:space="preserve">          2880,2 кв.м          </t>
  </si>
  <si>
    <t>Дезинсекция</t>
  </si>
  <si>
    <t xml:space="preserve">Размещение оборудования оператрами связи </t>
  </si>
  <si>
    <t>Бухгалтерские услуги</t>
  </si>
  <si>
    <t>Долг населения на 31.01.18 г.</t>
  </si>
  <si>
    <t>Долг населения на 31.01.2019 г.</t>
  </si>
  <si>
    <t>Остаток средст на проведение капитального ремонта по состоянию на 31.01.2019 г.</t>
  </si>
  <si>
    <t>Остаток средст на проведение текущего ремонта по состоянию на 31.01.2019 г.</t>
  </si>
  <si>
    <t>Обслуживание КПУ</t>
  </si>
  <si>
    <t>Кол-во</t>
  </si>
  <si>
    <t>Ед. изм.</t>
  </si>
  <si>
    <t>м</t>
  </si>
  <si>
    <t>шт</t>
  </si>
  <si>
    <t>Содержание ОИ -эл/эн</t>
  </si>
  <si>
    <t>Установка светильников</t>
  </si>
  <si>
    <t>Вывоз веток</t>
  </si>
  <si>
    <t>м3</t>
  </si>
  <si>
    <t>м2</t>
  </si>
  <si>
    <t>Ремонт кровли</t>
  </si>
  <si>
    <t xml:space="preserve">Лифт </t>
  </si>
  <si>
    <t>перед собственниками помещений о выполнении договора управления многоквартирным домом за 2019 год</t>
  </si>
  <si>
    <t>Смена радиатора отопления</t>
  </si>
  <si>
    <t>Окраска стен</t>
  </si>
  <si>
    <t>Покраска бордюров</t>
  </si>
  <si>
    <t xml:space="preserve">           3457.50 кв.м          </t>
  </si>
  <si>
    <t>Смена труб канализации</t>
  </si>
  <si>
    <t>Ремонт порогов</t>
  </si>
  <si>
    <t>Мусоропровод</t>
  </si>
  <si>
    <t>Дератизация</t>
  </si>
  <si>
    <t>Электроэнергия ипу, в т.ч. содерж. ОИ эл/эн</t>
  </si>
  <si>
    <t>Монтаж узла учета тепловой энергии</t>
  </si>
  <si>
    <t xml:space="preserve">      ул.Дубрава д.1</t>
  </si>
  <si>
    <t xml:space="preserve">           736.50 кв.м          </t>
  </si>
  <si>
    <t xml:space="preserve">      ул.Дубрава д.2</t>
  </si>
  <si>
    <t xml:space="preserve">           721.20 кв.м          </t>
  </si>
  <si>
    <t xml:space="preserve">      ул.Дубрава д.1 а</t>
  </si>
  <si>
    <t xml:space="preserve">           78.4 кв.м          </t>
  </si>
  <si>
    <t xml:space="preserve">      ул.Дубрава д. 4    </t>
  </si>
  <si>
    <t xml:space="preserve">           707.95 кв.м          </t>
  </si>
  <si>
    <t xml:space="preserve">      ул.Дубрава д. 5    </t>
  </si>
  <si>
    <t xml:space="preserve">           622.50 кв.м          </t>
  </si>
  <si>
    <t xml:space="preserve">      ул.Дубрава д. 6   </t>
  </si>
  <si>
    <t xml:space="preserve">           1277.90 кв.м          </t>
  </si>
  <si>
    <t xml:space="preserve">      ул.Дубрава д. 9    </t>
  </si>
  <si>
    <t xml:space="preserve">           1899.46 кв.м          </t>
  </si>
  <si>
    <t xml:space="preserve">      ул.Дубрава д. 11    </t>
  </si>
  <si>
    <t xml:space="preserve">           3706.30 кв.м          </t>
  </si>
  <si>
    <t xml:space="preserve">      ул.Нефтебаза д.6</t>
  </si>
  <si>
    <t xml:space="preserve">          2381.30 кв.м          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</si>
  <si>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</si>
  <si>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Уборка МОП</t>
  </si>
  <si>
    <t xml:space="preserve">          2673.20 кв.м          </t>
  </si>
  <si>
    <t xml:space="preserve">      ул.Аэропортовская д.9</t>
  </si>
  <si>
    <t xml:space="preserve">         900.50 кв.м          </t>
  </si>
  <si>
    <t xml:space="preserve">      ул.Грабцевское шоссе д.160</t>
  </si>
  <si>
    <t xml:space="preserve">         8435.60 кв.м          </t>
  </si>
  <si>
    <t xml:space="preserve">      ул.Хрустальная д.74</t>
  </si>
  <si>
    <t xml:space="preserve">        4567.40 кв.м          </t>
  </si>
  <si>
    <t xml:space="preserve">      ул.Молодежная д.46</t>
  </si>
  <si>
    <t xml:space="preserve">       15264.20 кв.м          </t>
  </si>
  <si>
    <t>Обслуживание ИТП</t>
  </si>
  <si>
    <t xml:space="preserve">      ул.Грабцевское шоссе д.132 корп.1</t>
  </si>
  <si>
    <t xml:space="preserve">       9170.90 кв.м          </t>
  </si>
  <si>
    <t>Налог 1%</t>
  </si>
  <si>
    <t>Налог 1% от суммы оплаты</t>
  </si>
  <si>
    <t>1.16.</t>
  </si>
  <si>
    <t>Ремонт порогов под.№1-3</t>
  </si>
  <si>
    <t>Ремонт порогов под.№2-4</t>
  </si>
  <si>
    <t>Окраска сушилки для белья</t>
  </si>
  <si>
    <t>Окраска ограждения</t>
  </si>
  <si>
    <t>Ремонт пола</t>
  </si>
  <si>
    <t>Ремонт плиты лоджии</t>
  </si>
  <si>
    <t>Долг населения на 31.01.19 г.</t>
  </si>
  <si>
    <t>Начислено за 2019 г., руб.</t>
  </si>
  <si>
    <t>Поступило средств за 2019 г., руб.</t>
  </si>
  <si>
    <t>Выполнены работы за 2019 г., руб.</t>
  </si>
  <si>
    <t>Задолженность населения за 2019г.</t>
  </si>
  <si>
    <t>Долг населения на 31.01.2020 г.</t>
  </si>
  <si>
    <t>Остаток средст на проведение капитального ремонта по состоянию на 31.01.2020 г.</t>
  </si>
  <si>
    <t>Остаток средст на проведение текущего ремонта по состоянию на 31.01.2020 г.</t>
  </si>
  <si>
    <t>"      "                        2020 год</t>
  </si>
  <si>
    <t>"      "                   2020 год</t>
  </si>
  <si>
    <t>Долг населения на 31.01.2020г.</t>
  </si>
  <si>
    <t>Остаток средст на проведение капитального ремонта по состоянию на 31.01.2019г.</t>
  </si>
  <si>
    <t>Остаток средст на проведение текущего ремонта по состоянию на 31.01.2019г.</t>
  </si>
  <si>
    <t>перед собственниками помещений о выполнении договора управления многоквартирным домом за 2019год</t>
  </si>
  <si>
    <t>Долг населения на 31.01.19г.</t>
  </si>
  <si>
    <t>Остаток ср-в на 31.01.19г</t>
  </si>
  <si>
    <t>Начислено за 2019г., руб.</t>
  </si>
  <si>
    <t>Остаток ср-в на 31.01.2020г</t>
  </si>
  <si>
    <t>перед собственниками помещений о выполнении договора управления многоквартирным домом за 2019</t>
  </si>
  <si>
    <t>Остаток средст на проведение текущего ремонта по состоянию на 31.01.19 г.</t>
  </si>
  <si>
    <t>46.69/47.63</t>
  </si>
  <si>
    <t>4.68/4.82</t>
  </si>
  <si>
    <t>2069.03/2104.62</t>
  </si>
  <si>
    <t>гор вода=28.25+(2104,62*0,0674)</t>
  </si>
  <si>
    <t>4.1.</t>
  </si>
  <si>
    <t>4.2.</t>
  </si>
  <si>
    <t>4.3.</t>
  </si>
  <si>
    <t>4.4.</t>
  </si>
  <si>
    <t xml:space="preserve">5. </t>
  </si>
  <si>
    <t>6.</t>
  </si>
  <si>
    <t>6.1.</t>
  </si>
  <si>
    <t>6.2.</t>
  </si>
  <si>
    <t>6.3.</t>
  </si>
  <si>
    <t>6.4.</t>
  </si>
  <si>
    <t>8.</t>
  </si>
  <si>
    <t>Доп. услуги</t>
  </si>
  <si>
    <t>8.1.</t>
  </si>
  <si>
    <t>8.2.</t>
  </si>
  <si>
    <t>8.3.</t>
  </si>
  <si>
    <t>8.4.</t>
  </si>
  <si>
    <t>3,27/4.82</t>
  </si>
  <si>
    <t>176,52/179,66</t>
  </si>
  <si>
    <t>3.27/3.37</t>
  </si>
  <si>
    <t>27,71/28,25</t>
  </si>
  <si>
    <t>18,98/19,38</t>
  </si>
  <si>
    <t>147,91/150,49</t>
  </si>
  <si>
    <t>4,68/4,82</t>
  </si>
  <si>
    <t>1926,26/1959,00</t>
  </si>
  <si>
    <t>175,80/178,96</t>
  </si>
  <si>
    <t>1,48/1,56</t>
  </si>
  <si>
    <t>1,00/1,74</t>
  </si>
  <si>
    <t>176,52/179,67</t>
  </si>
  <si>
    <t>186,14/189,48</t>
  </si>
  <si>
    <t>Накопление на ремонт</t>
  </si>
  <si>
    <t>2118,84/2154,6</t>
  </si>
  <si>
    <t>3,27/3,37</t>
  </si>
  <si>
    <t>1,82/1,92</t>
  </si>
  <si>
    <t>Содержание котельной</t>
  </si>
  <si>
    <t xml:space="preserve"> 1421,70 кв.м          </t>
  </si>
  <si>
    <t xml:space="preserve">      ул.Нефтебаза д.1</t>
  </si>
  <si>
    <t xml:space="preserve">      ул.Нефтебаза д.2</t>
  </si>
  <si>
    <t xml:space="preserve"> 620,81 кв.м          </t>
  </si>
  <si>
    <t xml:space="preserve">      ул. Чичерина д. 22</t>
  </si>
  <si>
    <t xml:space="preserve">           1635,50 кв.м          </t>
  </si>
  <si>
    <t>Долг населения на 01.02.19 г.</t>
  </si>
  <si>
    <t>Остаток средст на проведение текущего ремонта по состоянию на 01.02.2019 г.</t>
  </si>
  <si>
    <t xml:space="preserve">      ул.Хрустальная д.66</t>
  </si>
  <si>
    <t xml:space="preserve">    4626,52 кв.м          </t>
  </si>
  <si>
    <t>Долг населения на 01.03.19 г.</t>
  </si>
  <si>
    <t>Остаток средст на проведение текущего ремонта по состоянию на 01.03.19 г.</t>
  </si>
  <si>
    <t xml:space="preserve">      ул.Хрустальная д.56</t>
  </si>
  <si>
    <t xml:space="preserve">   3285,00 кв.м          </t>
  </si>
  <si>
    <t xml:space="preserve">      ул.Хрустальная д.70</t>
  </si>
  <si>
    <t xml:space="preserve">3081,40 кв.м          </t>
  </si>
  <si>
    <t xml:space="preserve">      ул.Дубрава д. 7  </t>
  </si>
  <si>
    <t xml:space="preserve">           1995,50 кв.м          </t>
  </si>
  <si>
    <t>Долг населения на 01.04.2019 г.</t>
  </si>
  <si>
    <t>Остаток средст на проведение текущего ремонта по состоянию на 01.04.2019 г.</t>
  </si>
  <si>
    <t xml:space="preserve">      ул.Хрустальная д.52</t>
  </si>
  <si>
    <t xml:space="preserve">   4532,30 кв.м          </t>
  </si>
  <si>
    <t>Долг населения на 01.04.19 г.</t>
  </si>
  <si>
    <t>Остаток средст на проведение текущего ремонта по состоянию на 01.04.19 г.</t>
  </si>
  <si>
    <t xml:space="preserve">      ул.Хрустальная д.62</t>
  </si>
  <si>
    <t xml:space="preserve">   3389,51 кв.м          </t>
  </si>
  <si>
    <t xml:space="preserve">      ул.Гагарина д.9</t>
  </si>
  <si>
    <t xml:space="preserve">1587,90 кв.м          </t>
  </si>
  <si>
    <t xml:space="preserve">      ул.Добровольского д.14</t>
  </si>
  <si>
    <t xml:space="preserve">3308,80 кв.м          </t>
  </si>
  <si>
    <t xml:space="preserve">      ул.Чижевского д.12</t>
  </si>
  <si>
    <t xml:space="preserve">3056,10 кв.м          </t>
  </si>
  <si>
    <t>Долг населения на 01.05.19 г.</t>
  </si>
  <si>
    <t>Остаток средст на проведение текущего ремонта по состоянию на 01.05.19 г.</t>
  </si>
  <si>
    <t>Вывоз тбо</t>
  </si>
  <si>
    <t>2104.62</t>
  </si>
  <si>
    <t xml:space="preserve">      ул.Болотникова д.16</t>
  </si>
  <si>
    <t xml:space="preserve">3529,50 кв.м          </t>
  </si>
  <si>
    <t>Долг населения на 01.06.19 г.</t>
  </si>
  <si>
    <t>Остаток средст на проведение текущего ремонта по состоянию на 01.06.19 г.</t>
  </si>
  <si>
    <t xml:space="preserve">      ул.Нефтебаза д.4</t>
  </si>
  <si>
    <t xml:space="preserve">2606,80 кв.м          </t>
  </si>
  <si>
    <t xml:space="preserve">      ул.Молодежная д.48</t>
  </si>
  <si>
    <t xml:space="preserve">       10247,90 кв.м          </t>
  </si>
  <si>
    <t>Долг населения на 01.08.19 г.</t>
  </si>
  <si>
    <t>Остаток средст на проведение текущего ремонта по состоянию на 01.08.19 г.</t>
  </si>
  <si>
    <t>47.63</t>
  </si>
  <si>
    <t xml:space="preserve">      ул.Чижевского д.23</t>
  </si>
  <si>
    <t xml:space="preserve">5119,30 кв.м          </t>
  </si>
  <si>
    <t>Плановый ремонт</t>
  </si>
  <si>
    <t xml:space="preserve">      ул.Плеханова д.2 корп.2</t>
  </si>
  <si>
    <t xml:space="preserve">6515,46 кв.м          </t>
  </si>
  <si>
    <t>Долг населения на 01.11.19 г.</t>
  </si>
  <si>
    <t>Остаток средст на проведение текущего ремонта по состоянию на 01.11.19 г.</t>
  </si>
  <si>
    <t xml:space="preserve">      ул.Калинина д.15</t>
  </si>
  <si>
    <t xml:space="preserve">3555,7 кв.м          </t>
  </si>
  <si>
    <t>1421,41/1445,58</t>
  </si>
  <si>
    <t>Фиксация свесов</t>
  </si>
  <si>
    <t>100 шт</t>
  </si>
  <si>
    <t>101 шт</t>
  </si>
  <si>
    <t>100 м2</t>
  </si>
  <si>
    <t>Смена стояков гвс и хвс</t>
  </si>
  <si>
    <t>Смена стояков гвс</t>
  </si>
  <si>
    <t>Смена запорной арматуры цо в подвале дома</t>
  </si>
  <si>
    <t>100 м</t>
  </si>
  <si>
    <t>куб/м</t>
  </si>
  <si>
    <t>Замена труб гвс в подвале</t>
  </si>
  <si>
    <t>Смена светильников на 9 эт</t>
  </si>
  <si>
    <t>Смена стояка гвс (кв.38)</t>
  </si>
  <si>
    <t>Смена стояка гвс (кв.107)</t>
  </si>
  <si>
    <t>Смена стояков гвс и хвс (кв.109, 125)</t>
  </si>
  <si>
    <t>Замена запорной арматуры гвс (тех. этаж)</t>
  </si>
  <si>
    <t>Смена стояка гвс (кв.103, 119)</t>
  </si>
  <si>
    <t>Ремонт фасада 1</t>
  </si>
  <si>
    <t>10 м</t>
  </si>
  <si>
    <t>Смена светильников в тамбуре 1-го этажа</t>
  </si>
  <si>
    <t>Замена радиатора на цо (кв.7)</t>
  </si>
  <si>
    <t>Замена радиатора на цо (кв.4)</t>
  </si>
  <si>
    <t>Благоустройство дворовой территории</t>
  </si>
  <si>
    <t>Ремонт крыши</t>
  </si>
  <si>
    <t>Установка прибора учета электроэнергии (кв.25,34,44)</t>
  </si>
  <si>
    <t>Установка кабель - канал</t>
  </si>
  <si>
    <t xml:space="preserve">100 м </t>
  </si>
  <si>
    <t>Вывоз мусора</t>
  </si>
  <si>
    <t>Установка почтовых ящиков</t>
  </si>
  <si>
    <t>Смена радиатора отопления (кв.70)</t>
  </si>
  <si>
    <t>Смена радиатора отопления (кв.58)</t>
  </si>
  <si>
    <t>Смена запорной арматуры в подвале дома</t>
  </si>
  <si>
    <t>Смена запорной арматуры цо</t>
  </si>
  <si>
    <t>Установка муляж камеры и наклейки</t>
  </si>
  <si>
    <t>Установка регулятора расхода на цо</t>
  </si>
  <si>
    <t>Изоляция трубопроводов цо</t>
  </si>
  <si>
    <t>Ремонт входной двери под.№2</t>
  </si>
  <si>
    <t>Смена стояка канализации</t>
  </si>
  <si>
    <t>Доводчик дверной (2 подъезд)</t>
  </si>
  <si>
    <t>Ремонт входной группы (под. №1,2)</t>
  </si>
  <si>
    <t>Ремонт совмещенной кровли (кв.33, 34)</t>
  </si>
  <si>
    <t>Замена радиатора на цо (кв.16)</t>
  </si>
  <si>
    <t>Ремонт совмещенной кровли (кв.13-16)</t>
  </si>
  <si>
    <t>Смена труб на системе хвс и гвс в подвале дома</t>
  </si>
  <si>
    <t>100м</t>
  </si>
  <si>
    <t>Ремонт порогов входной группы</t>
  </si>
  <si>
    <t>Смена стояка хвс (кв.22)</t>
  </si>
  <si>
    <t>Утепление стен (кв.1)</t>
  </si>
  <si>
    <t>Ремонт кровли (кв.67)</t>
  </si>
  <si>
    <t>Установка прибора учета тепла</t>
  </si>
  <si>
    <t>Ремонт порога</t>
  </si>
  <si>
    <t xml:space="preserve">м3 </t>
  </si>
  <si>
    <t>Установка ограждения</t>
  </si>
  <si>
    <t>т</t>
  </si>
  <si>
    <t>Окраска деревьев</t>
  </si>
  <si>
    <t>ведро</t>
  </si>
  <si>
    <t>Вывоз листвы</t>
  </si>
  <si>
    <t>Замена труб хвс</t>
  </si>
  <si>
    <t>Проверка ср-в измерений и аттестации испытательного оборудования</t>
  </si>
  <si>
    <t>Установка поливочного шлагна</t>
  </si>
  <si>
    <t>Ограждение теплового узла</t>
  </si>
  <si>
    <t>Дезинсекция (тараканы)</t>
  </si>
  <si>
    <t>Ремонт кровли (под.№1)</t>
  </si>
  <si>
    <t>Ремонт надподъездного козырька и кровли (под. №6)</t>
  </si>
  <si>
    <t>Установка поручней (под.№7)</t>
  </si>
  <si>
    <t>Смена запорной арматуры на хвс в подвале дома</t>
  </si>
  <si>
    <t>Утепление стен (кв.120)</t>
  </si>
  <si>
    <t>Замена переключателя галетного на станции управления лифтом</t>
  </si>
  <si>
    <t>станция</t>
  </si>
  <si>
    <t>Смена стояков гвс и хвс в подвале дома</t>
  </si>
  <si>
    <t>Доводчик дверной</t>
  </si>
  <si>
    <t>Замена шарового крана</t>
  </si>
  <si>
    <t>Ремонт порогов в подъездах №1-3</t>
  </si>
  <si>
    <t>Ремонт лавки</t>
  </si>
  <si>
    <t>Установка ограждения на окно</t>
  </si>
  <si>
    <t>Шланг поливочный</t>
  </si>
  <si>
    <t>Благоустройство</t>
  </si>
  <si>
    <t>Смена стекол в подъезде</t>
  </si>
  <si>
    <t>Ремонт кровли (под. №1)</t>
  </si>
  <si>
    <t>Петля гаражная для мусоропровода</t>
  </si>
  <si>
    <t>Косметический ремонт подъезда</t>
  </si>
  <si>
    <t>Уборка подвала</t>
  </si>
  <si>
    <t xml:space="preserve">Окраска газовых труб </t>
  </si>
  <si>
    <t>Покраска входа в подъезд</t>
  </si>
  <si>
    <t>Замена приборов учета электроэнергии</t>
  </si>
  <si>
    <t>Смена труб цо по подвалу</t>
  </si>
  <si>
    <t>Уборка мусора с чердака и вывоз мусора мжд</t>
  </si>
  <si>
    <t>Монтаж урны</t>
  </si>
  <si>
    <t>Дератизация и дезинсекция</t>
  </si>
  <si>
    <t>Дезинсекция (под.№1)</t>
  </si>
  <si>
    <t>Дератизация (под.№5)</t>
  </si>
  <si>
    <t>Ремонт фасада</t>
  </si>
  <si>
    <t>Косметический ремонт подъезда (под.№1)</t>
  </si>
  <si>
    <t>Косметический ремонт подъезда (под.№5)</t>
  </si>
  <si>
    <t>Керамзит д/тамбура (под.№3)</t>
  </si>
  <si>
    <t>Дверь пвх (под.№3)</t>
  </si>
  <si>
    <t>Лист вп для тамбура нам пол (под.№3)</t>
  </si>
  <si>
    <t>Сухая смесь универсальная, цемент д/тамбура (под.№3)</t>
  </si>
  <si>
    <t>Герметик по дереву (под.№4 кв.38)</t>
  </si>
  <si>
    <t>Смена стояков цо (кв.38)</t>
  </si>
  <si>
    <t>1.153.</t>
  </si>
  <si>
    <t>1.163.</t>
  </si>
  <si>
    <t>1.17.</t>
  </si>
  <si>
    <t>Смена радиатора отопления (кв.50)</t>
  </si>
  <si>
    <t>Строительные материалы</t>
  </si>
  <si>
    <t>Ремонт цоколя, окраска стен</t>
  </si>
  <si>
    <t>Ремонт козырьков балконов</t>
  </si>
  <si>
    <t>Доп. услуги (под.№2)</t>
  </si>
  <si>
    <t>Установка двери на чердак</t>
  </si>
  <si>
    <t>100шт</t>
  </si>
  <si>
    <t>Установка доводчика</t>
  </si>
  <si>
    <t>Изготовление и установка забора</t>
  </si>
  <si>
    <t>Частотный преобразователь (лифт)</t>
  </si>
  <si>
    <t>Смена трубы на системе цо (кв.1)</t>
  </si>
  <si>
    <t>101 м</t>
  </si>
  <si>
    <t>Ремонт подъезда №2</t>
  </si>
  <si>
    <t>Смена стояка хвс</t>
  </si>
  <si>
    <t>Замена запорной арматуры цо</t>
  </si>
  <si>
    <t>Установка уличных светильников на фасаде дома (под.№1,2)</t>
  </si>
  <si>
    <t>Смена светильников (под.№1)</t>
  </si>
  <si>
    <t>Замена запорной арматуры цо (под.№2)</t>
  </si>
  <si>
    <t>Дезинсекция и дератизация</t>
  </si>
  <si>
    <t>Смена замка (под.№2)</t>
  </si>
  <si>
    <t>Смена стояка цо (кв.53)</t>
  </si>
  <si>
    <t>Замена кранов на радиаторах (кв.70)</t>
  </si>
  <si>
    <t>Смена запорной арматуры цо (кв.49)</t>
  </si>
  <si>
    <t>Капитальный ремонт кровли</t>
  </si>
  <si>
    <t>Восстановление изоляции трубопровода цо</t>
  </si>
  <si>
    <t>Замена кранов</t>
  </si>
  <si>
    <t>Смена труб канализации (замена выпуска)</t>
  </si>
  <si>
    <t>100 м3</t>
  </si>
  <si>
    <t>Единый налог в связи с применением УСН за 2017г.</t>
  </si>
  <si>
    <t>Единый налог в связи с применением УСН за 2018г.</t>
  </si>
  <si>
    <t>Тачка</t>
  </si>
  <si>
    <t>Восстановление изоляции трубопровода ц.о.</t>
  </si>
  <si>
    <t>Восстановление освещения в подвале дома</t>
  </si>
  <si>
    <t>Оплата налога и пени с УСН</t>
  </si>
  <si>
    <t>Смена стояка ХВС  (Кв.1)</t>
  </si>
  <si>
    <t>Замена запорной арматуры гвс и хвс</t>
  </si>
  <si>
    <t>Замена запорной арматуры в подвале дома</t>
  </si>
  <si>
    <t>Установка запорной арматуры (кв.34)</t>
  </si>
  <si>
    <t>Смена труб на системе хвс (кв.63)</t>
  </si>
  <si>
    <t>Вывоз мусора из подвала</t>
  </si>
  <si>
    <t>Демонтаж желобов</t>
  </si>
  <si>
    <t>Ремонт отмостки</t>
  </si>
  <si>
    <t>Ремонт водосточных труб</t>
  </si>
  <si>
    <t>Окраска металлических ограждений лестничных площадок</t>
  </si>
  <si>
    <t>Перила</t>
  </si>
  <si>
    <t>Покрытие лаком дверейи перил (под.№1-6)</t>
  </si>
  <si>
    <t>Ремонт входной группы</t>
  </si>
  <si>
    <t>Врезка в трубу гвс и хвс в подвале дома</t>
  </si>
  <si>
    <t>Ремонт канализационного стояка (кв.36)</t>
  </si>
  <si>
    <t>Смена трубы на системе цо (кв.62)</t>
  </si>
  <si>
    <t>Замена запорной арматуры на системе гвс в подвале дома (кв.7)</t>
  </si>
  <si>
    <t>Ремонт двери входа в подвал</t>
  </si>
  <si>
    <t>Опиловка</t>
  </si>
  <si>
    <t xml:space="preserve">Дезинсекция(блохи) </t>
  </si>
  <si>
    <t>Смена канализационной трубы</t>
  </si>
  <si>
    <t>Смена участка канализационной трубы (кв.73)</t>
  </si>
  <si>
    <t>Смена канализационной трубы (кв.56)</t>
  </si>
  <si>
    <t>Замена крана на системе ГВС в подвале дома</t>
  </si>
  <si>
    <t xml:space="preserve">Замена соединителя на системе ГВС в подвале дома </t>
  </si>
  <si>
    <t>Смена стояка ГВС (кв.27)</t>
  </si>
  <si>
    <t>Уголок крепежный (под.№1-тамбур)</t>
  </si>
  <si>
    <t>Замена участка трубы на системе ГВС в подвале дома</t>
  </si>
  <si>
    <t>Смена участка трубы на системе ГВС в подвале дома</t>
  </si>
  <si>
    <t>Заключение о техническом состоянии объекта кап-ного ст-ва</t>
  </si>
  <si>
    <t>Ремонт трубы ХВС в подвале дома</t>
  </si>
  <si>
    <t>Смена труб на системе ц.о. в подвале дома</t>
  </si>
  <si>
    <t>Замена участка трубы на системе ГВС (кв.82)</t>
  </si>
  <si>
    <t>Замена участка трубы на системе ГВС (кв.83)</t>
  </si>
  <si>
    <t>Замена вентиля на системе на системе ГВС (кв.18)</t>
  </si>
  <si>
    <t>Смена  трубы на системе ХВС и ГВС (кв.13)</t>
  </si>
  <si>
    <t>Смена трубы на системе ГВС (кв.58)</t>
  </si>
  <si>
    <t>Ремонт порогов входной группы (под.№2)</t>
  </si>
  <si>
    <t>Ремонт порогов входной группы (под.№7)</t>
  </si>
  <si>
    <t>Ремонт порогов входной группы (под.№6)</t>
  </si>
  <si>
    <t>1.18.</t>
  </si>
  <si>
    <t>Замена контактов на станции управления лифтом (под.№3)</t>
  </si>
  <si>
    <t>Установка заглушки на трубе канализации в подвале дома</t>
  </si>
  <si>
    <t>Замена арматуры в бачке унитаза  в комнате ТСЖ</t>
  </si>
  <si>
    <t>Установка эл.двигателя в котельной</t>
  </si>
  <si>
    <t>Замена задвижек на узле ХВС в подвале дома</t>
  </si>
  <si>
    <t>Ремонт насоса</t>
  </si>
  <si>
    <t>Насос циркулярный Grundfos</t>
  </si>
  <si>
    <t>Замена плитки</t>
  </si>
  <si>
    <t>Замена крана на радиаторе отопления (кв.1)</t>
  </si>
  <si>
    <t>компл</t>
  </si>
  <si>
    <t>Установка сливного крана на системе ц.о. в подвале дома</t>
  </si>
  <si>
    <t>Ремонт ступеней при входе в подъезд</t>
  </si>
  <si>
    <t xml:space="preserve">Смена крана ГВС в подвале дома </t>
  </si>
  <si>
    <t>Установка сливного крана на системе ХВС в подвале дома</t>
  </si>
  <si>
    <t>Замена кранов в подвале дома</t>
  </si>
  <si>
    <t>Наклейка</t>
  </si>
  <si>
    <t>100 мест</t>
  </si>
  <si>
    <t>Ремонт межпанельных швов (кв.33,35,101)</t>
  </si>
  <si>
    <t>Электроэнергия</t>
  </si>
  <si>
    <t>Датчики движения</t>
  </si>
  <si>
    <t>Установка сливного крана на трубе ГВС в подвале дома</t>
  </si>
  <si>
    <t>Замена редуктора давления на системе ГВС</t>
  </si>
  <si>
    <t>Установка насоса на системе ХВС в подвале   дома</t>
  </si>
  <si>
    <t>Ремонт трубы в подвале дома</t>
  </si>
  <si>
    <t>Смена участка трубы канализации</t>
  </si>
  <si>
    <t>Установка воздухоотводчика</t>
  </si>
  <si>
    <t>Установка датчиков</t>
  </si>
  <si>
    <t>Ремонт насосной станции</t>
  </si>
  <si>
    <t xml:space="preserve">Ремонт станции повышение давления ХВС </t>
  </si>
  <si>
    <t>Восстановление освещения (под.№4)</t>
  </si>
  <si>
    <t>Электропривод ST в ИТП</t>
  </si>
  <si>
    <t>Смена светильников (под.№2)</t>
  </si>
  <si>
    <t>Наружное утепление стен объекта и утепление мажпанельных швов</t>
  </si>
  <si>
    <t>Наружное утепление стен  и  мажпанельных швов(перекрытий)кв.114</t>
  </si>
  <si>
    <t>Изменение схемы питания расходомеров</t>
  </si>
  <si>
    <t>Песочница детская</t>
  </si>
  <si>
    <t>Полусферы</t>
  </si>
  <si>
    <t>Смена кровельного покрытия на приямках</t>
  </si>
  <si>
    <t xml:space="preserve">Замена выключателей в подъезде </t>
  </si>
  <si>
    <t>кв</t>
  </si>
  <si>
    <t>Смена трубы на системе ХВС в подвале дома</t>
  </si>
  <si>
    <t>Доводчик дверной SD-2030 AL 40-55 кг</t>
  </si>
  <si>
    <t>Пружина дверная Ф18,5</t>
  </si>
  <si>
    <t>Пружина дверная Ф24</t>
  </si>
  <si>
    <t xml:space="preserve">Косметический ремонт подъездов </t>
  </si>
  <si>
    <t>Замена участка трубы на системе ГВС (кв.95)</t>
  </si>
  <si>
    <t>Замена запорной арматуры (кв.102)</t>
  </si>
  <si>
    <t xml:space="preserve">Доводчик дверной </t>
  </si>
  <si>
    <t>Доводчик дверной (морозоустойчивый)</t>
  </si>
  <si>
    <t>Устранение протечки на стояке ГВС (кв.108)</t>
  </si>
  <si>
    <t>Установка спускника на системе ц.о. в подвале дома</t>
  </si>
  <si>
    <t>Уборка мусора из подвала по предписанию ГЖИ</t>
  </si>
  <si>
    <t>Утепление стен (кв.42)</t>
  </si>
  <si>
    <t xml:space="preserve">      ул.Моторная д.30 А</t>
  </si>
  <si>
    <t>1.19.</t>
  </si>
  <si>
    <t>Установка воздухоотводчика на системе ц.о.</t>
  </si>
  <si>
    <t xml:space="preserve">Смена радиатора в подъезде дома </t>
  </si>
  <si>
    <t>Смена трубы на системе Ц.О. в подвале дома</t>
  </si>
  <si>
    <t>Смена трубы  Ц.О. в подвале дома</t>
  </si>
  <si>
    <t>Замена запорной арматуры на узле ГВС в подвале дома</t>
  </si>
  <si>
    <t>Установка кранов на системе ц.о. в подвале дома</t>
  </si>
  <si>
    <t>Коврик ячеистый, грязесборный</t>
  </si>
  <si>
    <t>Поликорбанат сотовый 10 мм</t>
  </si>
  <si>
    <t>Замена участка фановой трубы (кв.305)</t>
  </si>
  <si>
    <t>Смена радиатора (кв.134)</t>
  </si>
  <si>
    <t>Установка металлической решетки на выходе на кровлю (под.№2)</t>
  </si>
  <si>
    <t>Замена КВШ и канатов на лифте (под.№4)</t>
  </si>
  <si>
    <t>Ремонт платы аварийного освещения кабины лифты (под.№1,5,6,7)</t>
  </si>
  <si>
    <t>Замена доводчика на входной двери (под.№6)</t>
  </si>
  <si>
    <t>Ремонт фановой трубы (кв.305)</t>
  </si>
  <si>
    <t>Замена воздухоотводчика (кв.235)</t>
  </si>
  <si>
    <t>Смена радиатора отопления (кв.131)</t>
  </si>
  <si>
    <t>Частотный преобразователь</t>
  </si>
  <si>
    <t>Смена радиатора (под.№1, эт.1)</t>
  </si>
  <si>
    <t xml:space="preserve">Смена ушка на двери входа в подвал дома </t>
  </si>
  <si>
    <t>Ремонт платы аварийного освещения кабины лифта (под.№1,3)</t>
  </si>
  <si>
    <t>Установка монометров и замена кранов</t>
  </si>
  <si>
    <t>Смена трубы на ливневой канализации в подвале дома</t>
  </si>
  <si>
    <t>Смена радиатора отопления (кв.165)</t>
  </si>
  <si>
    <t>Смена радиатора в подъезде</t>
  </si>
  <si>
    <t>Смена трубы на системе ц.о. в подвале дома</t>
  </si>
  <si>
    <t>Ремонт радиатора в подъезде</t>
  </si>
  <si>
    <t>Установка цепи на металлическую решетку в подъезде</t>
  </si>
  <si>
    <t>Уборка моп</t>
  </si>
  <si>
    <t>Установка ручки выхода на кровлю дома</t>
  </si>
  <si>
    <t>Ремонт платы аварийного освещения кабины лифта (под.№1)</t>
  </si>
  <si>
    <t>Замена крана на системе ц.о. в подвале дома</t>
  </si>
  <si>
    <t>Смена труб канализации в подвале дома</t>
  </si>
  <si>
    <t>Установка насоса на системе ГВС в подвале дома</t>
  </si>
  <si>
    <t>Балансировочный клапан</t>
  </si>
  <si>
    <t>Швеллер 12П ГОСТ</t>
  </si>
  <si>
    <t>Ремонт платы аварийного освещения кабины лифта (под.№3)</t>
  </si>
  <si>
    <t>Замена сгона на системе ц.о. (кв.9)</t>
  </si>
  <si>
    <t>Смена стояка ХВС (кв.7)</t>
  </si>
  <si>
    <t>Смена канализационной трубы (кв.4)</t>
  </si>
  <si>
    <t>Смена чугунного радиатора в подъезде</t>
  </si>
  <si>
    <t>Смена трубы на системе ц.о. (кв.7)</t>
  </si>
  <si>
    <t>Смена участка трубы на системе ц.о. на вводе в дом</t>
  </si>
  <si>
    <t>Замена участка трубы в подвале дома (под.№4)</t>
  </si>
  <si>
    <t>Замена участка трубы на системе Ц.О. (кв.4)</t>
  </si>
  <si>
    <t xml:space="preserve">Замена запорной арматуры в подвале дома </t>
  </si>
  <si>
    <t>Ремонт межпанельных швов (кв.20)</t>
  </si>
  <si>
    <t>Ремонт шиферной кровли (кв.20)</t>
  </si>
  <si>
    <t>Замена сливного крана на системе ХВС (подвал)</t>
  </si>
  <si>
    <t>Замена  крана на системе ХВС (кв.3)</t>
  </si>
  <si>
    <t>Установка светильников (под№1-4)</t>
  </si>
  <si>
    <t>Смена вентиля на системе ХВС (кв.33)</t>
  </si>
  <si>
    <t>Установка уличных светильников (под.№2,3)</t>
  </si>
  <si>
    <t>Смена участка трубы на системе ц.о. в подвале дома</t>
  </si>
  <si>
    <t>Смена труб на системе ХВС (кв.70)</t>
  </si>
  <si>
    <t>Ремонт фрагмента трубы на системе ХВС в подвале дома</t>
  </si>
  <si>
    <t>Замена кранов сливных на системе Ц.О. (кв.10)</t>
  </si>
  <si>
    <t>Замена крана  на системе ХВС (кв.56)</t>
  </si>
  <si>
    <t>Замена крана шар.на системе  ц.о. в подвале дома</t>
  </si>
  <si>
    <t>Замена запорной арматуры на системе ХВС в подвале дома</t>
  </si>
  <si>
    <t>Замена кранов на системе ц.о.</t>
  </si>
  <si>
    <t>Замена запорной арматуры на системе ц.о. в подвале дома</t>
  </si>
  <si>
    <t>Ремонт газоходов</t>
  </si>
  <si>
    <t>Смена трубы на системе хвс (кв.12)</t>
  </si>
  <si>
    <t>Ремонт трубы (кв.58)</t>
  </si>
  <si>
    <t>Ремонт канализационной трубы в подвале дома</t>
  </si>
  <si>
    <t>Ремонт ливневой канализации (кв.96)</t>
  </si>
  <si>
    <t>Смена патрубка на ливневой трубе в подъезде</t>
  </si>
  <si>
    <t>Замена запорной арматуры на системе ГВС</t>
  </si>
  <si>
    <t>Смена участка трубы на системе ХВС в подвале дома</t>
  </si>
  <si>
    <t xml:space="preserve">Капитальный ремонт </t>
  </si>
  <si>
    <t>Остаток средст накопления на ремонт по состоянию на 31.01.2020 г.</t>
  </si>
  <si>
    <t>Остаток средст планового ремонта по состоянию на 31.01.2020 г.</t>
  </si>
  <si>
    <t>Дополнительные услуги (с квартиры уборка моп)</t>
  </si>
  <si>
    <t>Дополнительные услуги (уборка моп)</t>
  </si>
  <si>
    <t>Доп. Услуги (уборка моп)</t>
  </si>
  <si>
    <t>Проверка теплового счетчика</t>
  </si>
  <si>
    <t>Изготовление проекта на прибор учета тепловой энергии</t>
  </si>
  <si>
    <t>1.10.1.11.</t>
  </si>
  <si>
    <t>Ремонт межпанельных швов (кв.45)</t>
  </si>
  <si>
    <t>Ремонт деформационных швов (под.№2)</t>
  </si>
  <si>
    <t>Опиловка деревьев</t>
  </si>
  <si>
    <t>Ремонт откосов</t>
  </si>
  <si>
    <t>Ремонт порогов (под.№4)</t>
  </si>
  <si>
    <t>Ремонт порога (под.№2)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</si>
</sst>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0000"/>
    <numFmt numFmtId="166" formatCode="#,##0.000"/>
    <numFmt numFmtId="167" formatCode="#,##0.00000"/>
    <numFmt numFmtId="168" formatCode="#,##0.000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2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vertical="top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164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16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8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11" fillId="0" borderId="14" xfId="0" applyFont="1" applyBorder="1" applyAlignment="1">
      <alignment/>
    </xf>
    <xf numFmtId="164" fontId="7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164" fontId="1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34" borderId="0" xfId="0" applyFont="1" applyFill="1" applyAlignment="1">
      <alignment wrapText="1"/>
    </xf>
    <xf numFmtId="164" fontId="8" fillId="34" borderId="11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10" fillId="0" borderId="0" xfId="0" applyFont="1" applyBorder="1" applyAlignment="1">
      <alignment horizontal="left" wrapText="1"/>
    </xf>
    <xf numFmtId="164" fontId="8" fillId="34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2" fontId="1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4" fontId="8" fillId="0" borderId="10" xfId="0" applyNumberFormat="1" applyFont="1" applyBorder="1" applyAlignment="1">
      <alignment wrapText="1"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8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9" fillId="0" borderId="0" xfId="0" applyNumberFormat="1" applyFont="1" applyAlignment="1">
      <alignment vertical="top"/>
    </xf>
    <xf numFmtId="4" fontId="13" fillId="35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64" fontId="13" fillId="0" borderId="0" xfId="0" applyNumberFormat="1" applyFont="1" applyBorder="1" applyAlignment="1">
      <alignment/>
    </xf>
    <xf numFmtId="164" fontId="8" fillId="0" borderId="16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7" fillId="0" borderId="10" xfId="0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164" fontId="8" fillId="0" borderId="16" xfId="0" applyNumberFormat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166" fontId="8" fillId="0" borderId="1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8" fillId="35" borderId="10" xfId="0" applyNumberFormat="1" applyFont="1" applyFill="1" applyBorder="1" applyAlignment="1">
      <alignment horizontal="right" wrapText="1"/>
    </xf>
    <xf numFmtId="4" fontId="13" fillId="35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164" fontId="8" fillId="34" borderId="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5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164" fontId="8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wrapText="1"/>
    </xf>
    <xf numFmtId="4" fontId="8" fillId="35" borderId="10" xfId="0" applyNumberFormat="1" applyFont="1" applyFill="1" applyBorder="1" applyAlignment="1">
      <alignment wrapText="1"/>
    </xf>
    <xf numFmtId="0" fontId="6" fillId="35" borderId="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164" fontId="8" fillId="35" borderId="12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8" fillId="35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0" xfId="0" applyAlignment="1">
      <alignment/>
    </xf>
    <xf numFmtId="4" fontId="8" fillId="35" borderId="10" xfId="0" applyNumberFormat="1" applyFont="1" applyFill="1" applyBorder="1" applyAlignment="1">
      <alignment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" fontId="5" fillId="35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4" fontId="8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16" fontId="2" fillId="0" borderId="10" xfId="0" applyNumberFormat="1" applyFont="1" applyBorder="1" applyAlignment="1">
      <alignment wrapText="1"/>
    </xf>
    <xf numFmtId="17" fontId="2" fillId="0" borderId="10" xfId="0" applyNumberFormat="1" applyFont="1" applyBorder="1" applyAlignment="1">
      <alignment wrapText="1"/>
    </xf>
    <xf numFmtId="4" fontId="8" fillId="35" borderId="10" xfId="0" applyNumberFormat="1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 wrapText="1"/>
    </xf>
    <xf numFmtId="169" fontId="2" fillId="0" borderId="0" xfId="0" applyNumberFormat="1" applyFont="1" applyAlignment="1">
      <alignment wrapText="1"/>
    </xf>
    <xf numFmtId="4" fontId="16" fillId="35" borderId="1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horizontal="center" vertical="center"/>
    </xf>
    <xf numFmtId="164" fontId="13" fillId="35" borderId="10" xfId="0" applyNumberFormat="1" applyFont="1" applyFill="1" applyBorder="1" applyAlignment="1">
      <alignment horizontal="center" vertical="center"/>
    </xf>
    <xf numFmtId="4" fontId="19" fillId="35" borderId="10" xfId="0" applyNumberFormat="1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0" fontId="16" fillId="35" borderId="0" xfId="0" applyFont="1" applyFill="1" applyAlignment="1">
      <alignment wrapText="1"/>
    </xf>
    <xf numFmtId="0" fontId="17" fillId="35" borderId="0" xfId="0" applyFont="1" applyFill="1" applyAlignment="1">
      <alignment/>
    </xf>
    <xf numFmtId="4" fontId="43" fillId="0" borderId="0" xfId="0" applyNumberFormat="1" applyFont="1" applyAlignment="1">
      <alignment/>
    </xf>
    <xf numFmtId="164" fontId="8" fillId="0" borderId="14" xfId="0" applyNumberFormat="1" applyFont="1" applyBorder="1" applyAlignment="1">
      <alignment horizontal="left" wrapText="1"/>
    </xf>
    <xf numFmtId="16" fontId="8" fillId="0" borderId="10" xfId="0" applyNumberFormat="1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64" fontId="8" fillId="0" borderId="16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7" fillId="0" borderId="16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/>
    </xf>
    <xf numFmtId="164" fontId="9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64" fontId="8" fillId="0" borderId="16" xfId="0" applyNumberFormat="1" applyFont="1" applyFill="1" applyBorder="1" applyAlignment="1">
      <alignment horizontal="left" wrapText="1"/>
    </xf>
    <xf numFmtId="164" fontId="8" fillId="0" borderId="14" xfId="0" applyNumberFormat="1" applyFont="1" applyFill="1" applyBorder="1" applyAlignment="1">
      <alignment horizontal="left" wrapText="1"/>
    </xf>
    <xf numFmtId="164" fontId="9" fillId="0" borderId="16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8" fillId="0" borderId="16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164" fontId="8" fillId="0" borderId="16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6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10" fillId="0" borderId="1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left" wrapText="1"/>
    </xf>
    <xf numFmtId="164" fontId="8" fillId="0" borderId="14" xfId="0" applyNumberFormat="1" applyFont="1" applyFill="1" applyBorder="1" applyAlignment="1">
      <alignment horizontal="left" wrapText="1"/>
    </xf>
    <xf numFmtId="164" fontId="9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6" fillId="35" borderId="15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C18" sqref="C18"/>
    </sheetView>
  </sheetViews>
  <sheetFormatPr defaultColWidth="9.140625" defaultRowHeight="15" outlineLevelCol="2"/>
  <cols>
    <col min="1" max="1" width="3.57421875" style="23" customWidth="1"/>
    <col min="2" max="2" width="40.421875" style="23" customWidth="1"/>
    <col min="3" max="3" width="14.57421875" style="135" customWidth="1"/>
    <col min="4" max="4" width="14.8515625" style="23" customWidth="1"/>
    <col min="5" max="5" width="13.28125" style="23" customWidth="1"/>
    <col min="6" max="6" width="13.140625" style="23" customWidth="1"/>
    <col min="7" max="7" width="14.57421875" style="23" customWidth="1"/>
    <col min="8" max="9" width="11.57421875" style="23" hidden="1" customWidth="1" outlineLevel="2"/>
    <col min="10" max="10" width="10.140625" style="23" hidden="1" customWidth="1" outlineLevel="2"/>
    <col min="11" max="11" width="10.421875" style="23" hidden="1" customWidth="1" outlineLevel="2"/>
    <col min="12" max="13" width="9.140625" style="23" hidden="1" customWidth="1" outlineLevel="2"/>
    <col min="14" max="14" width="9.140625" style="23" hidden="1" customWidth="1" outlineLevel="1"/>
    <col min="15" max="15" width="10.00390625" style="23" hidden="1" customWidth="1" outlineLevel="1"/>
    <col min="16" max="16" width="15.8515625" style="23" customWidth="1" collapsed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C7" s="136"/>
      <c r="F7" s="26" t="s">
        <v>53</v>
      </c>
      <c r="H7" s="26"/>
    </row>
    <row r="8" spans="1:8" s="25" customFormat="1" ht="12.75">
      <c r="A8" s="25" t="s">
        <v>3</v>
      </c>
      <c r="C8" s="136"/>
      <c r="F8" s="26" t="s">
        <v>155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774149.4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137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228</v>
      </c>
      <c r="B14" s="43"/>
      <c r="C14" s="138"/>
      <c r="D14" s="44"/>
      <c r="E14" s="45"/>
      <c r="F14" s="45"/>
      <c r="G14" s="73">
        <v>9102.46</v>
      </c>
      <c r="H14" s="40"/>
      <c r="I14" s="40"/>
    </row>
    <row r="15" spans="1:9" s="15" customFormat="1" ht="15.75" thickBot="1">
      <c r="A15" s="87" t="s">
        <v>229</v>
      </c>
      <c r="B15" s="43"/>
      <c r="C15" s="138"/>
      <c r="D15" s="44"/>
      <c r="E15" s="45"/>
      <c r="F15" s="45"/>
      <c r="G15" s="73">
        <v>80810.7</v>
      </c>
      <c r="H15" s="40"/>
      <c r="I15" s="40"/>
    </row>
    <row r="16" s="25" customFormat="1" ht="6.75" customHeight="1">
      <c r="C16" s="136"/>
    </row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16" s="149" customFormat="1" ht="14.25">
      <c r="A18" s="144" t="s">
        <v>14</v>
      </c>
      <c r="B18" s="36" t="s">
        <v>15</v>
      </c>
      <c r="C18" s="145">
        <f>C19+C20+C21+C22</f>
        <v>9.350000000000001</v>
      </c>
      <c r="D18" s="146">
        <v>271304.76</v>
      </c>
      <c r="E18" s="146">
        <v>258802.09</v>
      </c>
      <c r="F18" s="146">
        <f aca="true" t="shared" si="0" ref="F18:F27">D18</f>
        <v>271304.76</v>
      </c>
      <c r="G18" s="147">
        <f aca="true" t="shared" si="1" ref="G18:G27">D18-E18</f>
        <v>12502.670000000013</v>
      </c>
      <c r="H18" s="148">
        <f>C18</f>
        <v>9.350000000000001</v>
      </c>
      <c r="O18" s="148"/>
      <c r="P18" s="150"/>
    </row>
    <row r="19" spans="1:9" s="25" customFormat="1" ht="15">
      <c r="A19" s="27" t="s">
        <v>16</v>
      </c>
      <c r="B19" s="28" t="s">
        <v>17</v>
      </c>
      <c r="C19" s="139">
        <v>3.22</v>
      </c>
      <c r="D19" s="67">
        <f>D18*I19</f>
        <v>93433.29702673797</v>
      </c>
      <c r="E19" s="67">
        <f>E18*I19</f>
        <v>89127.56468449197</v>
      </c>
      <c r="F19" s="67">
        <f t="shared" si="0"/>
        <v>93433.29702673797</v>
      </c>
      <c r="G19" s="68">
        <f t="shared" si="1"/>
        <v>4305.732342246003</v>
      </c>
      <c r="H19" s="143">
        <f>C19</f>
        <v>3.22</v>
      </c>
      <c r="I19" s="32">
        <f>H19/H18</f>
        <v>0.3443850267379679</v>
      </c>
    </row>
    <row r="20" spans="1:9" s="25" customFormat="1" ht="15">
      <c r="A20" s="27" t="s">
        <v>18</v>
      </c>
      <c r="B20" s="28" t="s">
        <v>19</v>
      </c>
      <c r="C20" s="139">
        <v>1.53</v>
      </c>
      <c r="D20" s="67">
        <f>D18*I20</f>
        <v>44395.324363636355</v>
      </c>
      <c r="E20" s="67">
        <f>E18*I20</f>
        <v>42349.4329090909</v>
      </c>
      <c r="F20" s="67">
        <f t="shared" si="0"/>
        <v>44395.324363636355</v>
      </c>
      <c r="G20" s="68">
        <f t="shared" si="1"/>
        <v>2045.8914545454536</v>
      </c>
      <c r="H20" s="143">
        <f>C20</f>
        <v>1.53</v>
      </c>
      <c r="I20" s="32">
        <f>H20/H18</f>
        <v>0.1636363636363636</v>
      </c>
    </row>
    <row r="21" spans="1:9" s="25" customFormat="1" ht="15">
      <c r="A21" s="27" t="s">
        <v>20</v>
      </c>
      <c r="B21" s="28" t="s">
        <v>21</v>
      </c>
      <c r="C21" s="139">
        <f>0.5+0.47+0.3+0.3+0.18+0.14</f>
        <v>1.8900000000000001</v>
      </c>
      <c r="D21" s="67">
        <f>D18*I21</f>
        <v>54841.28303743315</v>
      </c>
      <c r="E21" s="67">
        <f>E18*I21</f>
        <v>52314.00535828876</v>
      </c>
      <c r="F21" s="67">
        <f t="shared" si="0"/>
        <v>54841.28303743315</v>
      </c>
      <c r="G21" s="68">
        <f t="shared" si="1"/>
        <v>2527.2776791443903</v>
      </c>
      <c r="H21" s="143">
        <f>C21</f>
        <v>1.8900000000000001</v>
      </c>
      <c r="I21" s="32">
        <f>H21/H18</f>
        <v>0.20213903743315506</v>
      </c>
    </row>
    <row r="22" spans="1:9" s="25" customFormat="1" ht="15">
      <c r="A22" s="27" t="s">
        <v>22</v>
      </c>
      <c r="B22" s="28" t="s">
        <v>23</v>
      </c>
      <c r="C22" s="139">
        <v>2.71</v>
      </c>
      <c r="D22" s="67">
        <f>D18*I22</f>
        <v>78634.85557219251</v>
      </c>
      <c r="E22" s="67">
        <f>E18*I22</f>
        <v>75011.08704812833</v>
      </c>
      <c r="F22" s="67">
        <f t="shared" si="0"/>
        <v>78634.85557219251</v>
      </c>
      <c r="G22" s="68">
        <f t="shared" si="1"/>
        <v>3623.768524064173</v>
      </c>
      <c r="H22" s="143">
        <f>C22</f>
        <v>2.71</v>
      </c>
      <c r="I22" s="32">
        <f>H22/H18</f>
        <v>0.28983957219251333</v>
      </c>
    </row>
    <row r="23" spans="1:7" s="154" customFormat="1" ht="15">
      <c r="A23" s="151" t="s">
        <v>25</v>
      </c>
      <c r="B23" s="151" t="s">
        <v>26</v>
      </c>
      <c r="C23" s="152">
        <v>0</v>
      </c>
      <c r="D23" s="67">
        <f>D18*I23</f>
        <v>0</v>
      </c>
      <c r="E23" s="67">
        <f>E18*I23</f>
        <v>0</v>
      </c>
      <c r="F23" s="153">
        <f t="shared" si="0"/>
        <v>0</v>
      </c>
      <c r="G23" s="153">
        <f t="shared" si="1"/>
        <v>0</v>
      </c>
    </row>
    <row r="24" spans="1:7" s="154" customFormat="1" ht="14.25">
      <c r="A24" s="151" t="s">
        <v>27</v>
      </c>
      <c r="B24" s="151" t="s">
        <v>28</v>
      </c>
      <c r="C24" s="152">
        <v>0</v>
      </c>
      <c r="D24" s="153">
        <v>0</v>
      </c>
      <c r="E24" s="153">
        <v>9351.29</v>
      </c>
      <c r="F24" s="153">
        <f t="shared" si="0"/>
        <v>0</v>
      </c>
      <c r="G24" s="153">
        <f t="shared" si="1"/>
        <v>-9351.29</v>
      </c>
    </row>
    <row r="25" spans="1:7" s="154" customFormat="1" ht="14.25">
      <c r="A25" s="151" t="s">
        <v>29</v>
      </c>
      <c r="B25" s="151" t="s">
        <v>230</v>
      </c>
      <c r="C25" s="152">
        <v>1832.48</v>
      </c>
      <c r="D25" s="153">
        <v>13010.71</v>
      </c>
      <c r="E25" s="153">
        <v>12038.76</v>
      </c>
      <c r="F25" s="153">
        <f t="shared" si="0"/>
        <v>13010.71</v>
      </c>
      <c r="G25" s="153">
        <f t="shared" si="1"/>
        <v>971.9499999999989</v>
      </c>
    </row>
    <row r="26" spans="1:7" s="154" customFormat="1" ht="14.25">
      <c r="A26" s="151" t="s">
        <v>31</v>
      </c>
      <c r="B26" s="151" t="s">
        <v>131</v>
      </c>
      <c r="C26" s="152">
        <v>1.92</v>
      </c>
      <c r="D26" s="153">
        <v>55692.96</v>
      </c>
      <c r="E26" s="153">
        <v>54022.26</v>
      </c>
      <c r="F26" s="153">
        <f>G42</f>
        <v>65298.492600000005</v>
      </c>
      <c r="G26" s="153">
        <f t="shared" si="1"/>
        <v>1670.699999999997</v>
      </c>
    </row>
    <row r="27" spans="1:7" s="37" customFormat="1" ht="14.25">
      <c r="A27" s="36" t="s">
        <v>33</v>
      </c>
      <c r="B27" s="36" t="s">
        <v>34</v>
      </c>
      <c r="C27" s="215">
        <v>0</v>
      </c>
      <c r="D27" s="147">
        <v>0</v>
      </c>
      <c r="E27" s="147">
        <v>2475.05</v>
      </c>
      <c r="F27" s="153">
        <f t="shared" si="0"/>
        <v>0</v>
      </c>
      <c r="G27" s="153">
        <f t="shared" si="1"/>
        <v>-2475.05</v>
      </c>
    </row>
    <row r="28" spans="1:7" s="37" customFormat="1" ht="14.25">
      <c r="A28" s="36" t="s">
        <v>35</v>
      </c>
      <c r="B28" s="36" t="s">
        <v>36</v>
      </c>
      <c r="C28" s="145"/>
      <c r="D28" s="147">
        <f>SUM(D29:D32)</f>
        <v>1378050.73</v>
      </c>
      <c r="E28" s="147">
        <f>SUM(E29:E32)</f>
        <v>1331250.5899999999</v>
      </c>
      <c r="F28" s="147">
        <f>SUM(F29:F32)</f>
        <v>1378050.73</v>
      </c>
      <c r="G28" s="147">
        <f>SUM(G29:G32)</f>
        <v>-46800.14000000004</v>
      </c>
    </row>
    <row r="29" spans="1:7" ht="15">
      <c r="A29" s="28" t="s">
        <v>37</v>
      </c>
      <c r="B29" s="9" t="s">
        <v>235</v>
      </c>
      <c r="C29" s="134" t="s">
        <v>315</v>
      </c>
      <c r="D29" s="68">
        <v>22880.34</v>
      </c>
      <c r="E29" s="68">
        <v>21540.5</v>
      </c>
      <c r="F29" s="68">
        <f>D29</f>
        <v>22880.34</v>
      </c>
      <c r="G29" s="68">
        <f>E29-D29</f>
        <v>-1339.8400000000001</v>
      </c>
    </row>
    <row r="30" spans="1:7" ht="15">
      <c r="A30" s="28" t="s">
        <v>39</v>
      </c>
      <c r="B30" s="9" t="s">
        <v>168</v>
      </c>
      <c r="C30" s="134" t="s">
        <v>314</v>
      </c>
      <c r="D30" s="68">
        <v>228064.1</v>
      </c>
      <c r="E30" s="68">
        <v>224627.28</v>
      </c>
      <c r="F30" s="68">
        <f>D30</f>
        <v>228064.1</v>
      </c>
      <c r="G30" s="68">
        <f>E30-D30</f>
        <v>-3436.820000000007</v>
      </c>
    </row>
    <row r="31" spans="1:7" ht="15">
      <c r="A31" s="28" t="s">
        <v>42</v>
      </c>
      <c r="B31" s="28" t="s">
        <v>170</v>
      </c>
      <c r="C31" s="182" t="s">
        <v>346</v>
      </c>
      <c r="D31" s="68">
        <v>333035.15</v>
      </c>
      <c r="E31" s="68">
        <v>332102.07</v>
      </c>
      <c r="F31" s="68">
        <f>D31</f>
        <v>333035.15</v>
      </c>
      <c r="G31" s="68">
        <f>E31-D31</f>
        <v>-933.0800000000163</v>
      </c>
    </row>
    <row r="32" spans="1:7" ht="15">
      <c r="A32" s="28" t="s">
        <v>41</v>
      </c>
      <c r="B32" s="28" t="s">
        <v>43</v>
      </c>
      <c r="C32" s="134" t="s">
        <v>316</v>
      </c>
      <c r="D32" s="68">
        <v>794071.14</v>
      </c>
      <c r="E32" s="68">
        <v>752980.74</v>
      </c>
      <c r="F32" s="68">
        <f>D32</f>
        <v>794071.14</v>
      </c>
      <c r="G32" s="68">
        <f>E32-D32</f>
        <v>-41090.40000000002</v>
      </c>
    </row>
    <row r="33" spans="1:9" s="20" customFormat="1" ht="7.5" customHeight="1" thickBot="1">
      <c r="A33" s="46"/>
      <c r="B33" s="46"/>
      <c r="C33" s="140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D12+D18+D23+D24+D25+D26+D27+D28-E18-E23-E24-E25-E26-E27-E28</f>
        <v>824268.520000001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137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138"/>
      <c r="D36" s="44"/>
      <c r="E36" s="45"/>
      <c r="F36" s="45"/>
      <c r="G36" s="38">
        <f>G14+E27-F27</f>
        <v>11577.509999999998</v>
      </c>
      <c r="H36" s="40"/>
      <c r="I36" s="40"/>
    </row>
    <row r="37" spans="1:9" s="15" customFormat="1" ht="15.75" thickBot="1">
      <c r="A37" s="87" t="s">
        <v>301</v>
      </c>
      <c r="B37" s="43"/>
      <c r="C37" s="138"/>
      <c r="D37" s="44"/>
      <c r="E37" s="45"/>
      <c r="F37" s="45"/>
      <c r="G37" s="38">
        <f>G15+E26-F26</f>
        <v>69534.4674</v>
      </c>
      <c r="H37" s="40"/>
      <c r="I37" s="40"/>
    </row>
    <row r="38" spans="1:13" s="20" customFormat="1" ht="9.75" customHeight="1">
      <c r="A38" s="21"/>
      <c r="B38" s="21"/>
      <c r="C38" s="141"/>
      <c r="D38" s="21"/>
      <c r="E38" s="22"/>
      <c r="F38" s="22"/>
      <c r="G38" s="22"/>
      <c r="H38" s="22"/>
      <c r="I38" s="22"/>
      <c r="J38" s="22"/>
      <c r="K38" s="22"/>
      <c r="L38" s="22"/>
      <c r="M38" s="22"/>
    </row>
    <row r="39" spans="1:11" ht="23.25" customHeight="1">
      <c r="A39" s="267" t="s">
        <v>44</v>
      </c>
      <c r="B39" s="267"/>
      <c r="C39" s="267"/>
      <c r="D39" s="267"/>
      <c r="E39" s="267"/>
      <c r="F39" s="267"/>
      <c r="G39" s="267"/>
      <c r="H39" s="160"/>
      <c r="I39" s="160"/>
      <c r="J39" s="160"/>
      <c r="K39" s="160"/>
    </row>
    <row r="41" spans="1:12" s="18" customFormat="1" ht="37.5" customHeight="1">
      <c r="A41" s="6" t="s">
        <v>11</v>
      </c>
      <c r="B41" s="268" t="s">
        <v>45</v>
      </c>
      <c r="C41" s="269"/>
      <c r="D41" s="270"/>
      <c r="E41" s="6" t="s">
        <v>232</v>
      </c>
      <c r="F41" s="6" t="s">
        <v>231</v>
      </c>
      <c r="G41" s="6" t="s">
        <v>46</v>
      </c>
      <c r="L41" s="54"/>
    </row>
    <row r="42" spans="1:12" s="12" customFormat="1" ht="15" customHeight="1">
      <c r="A42" s="11" t="s">
        <v>47</v>
      </c>
      <c r="B42" s="258" t="s">
        <v>126</v>
      </c>
      <c r="C42" s="259"/>
      <c r="D42" s="260"/>
      <c r="E42" s="157"/>
      <c r="F42" s="157"/>
      <c r="G42" s="53">
        <f>SUM(G43:O49)</f>
        <v>65298.492600000005</v>
      </c>
      <c r="L42" s="55"/>
    </row>
    <row r="43" spans="1:12" ht="15.75" customHeight="1">
      <c r="A43" s="28" t="s">
        <v>16</v>
      </c>
      <c r="B43" s="261" t="s">
        <v>237</v>
      </c>
      <c r="C43" s="262"/>
      <c r="D43" s="263"/>
      <c r="E43" s="168" t="s">
        <v>417</v>
      </c>
      <c r="F43" s="225">
        <v>24</v>
      </c>
      <c r="G43" s="159">
        <v>24000</v>
      </c>
      <c r="L43" s="56"/>
    </row>
    <row r="44" spans="1:12" ht="15.75" customHeight="1">
      <c r="A44" s="28" t="s">
        <v>18</v>
      </c>
      <c r="B44" s="261" t="s">
        <v>413</v>
      </c>
      <c r="C44" s="262"/>
      <c r="D44" s="263"/>
      <c r="E44" s="168" t="s">
        <v>416</v>
      </c>
      <c r="F44" s="225">
        <v>0.19</v>
      </c>
      <c r="G44" s="159">
        <v>14537.1</v>
      </c>
      <c r="L44" s="56"/>
    </row>
    <row r="45" spans="1:12" ht="15.75" customHeight="1">
      <c r="A45" s="28" t="s">
        <v>20</v>
      </c>
      <c r="B45" s="261" t="s">
        <v>414</v>
      </c>
      <c r="C45" s="262"/>
      <c r="D45" s="263"/>
      <c r="E45" s="168" t="s">
        <v>416</v>
      </c>
      <c r="F45" s="225">
        <v>0.065</v>
      </c>
      <c r="G45" s="159">
        <v>3387.33</v>
      </c>
      <c r="L45" s="56"/>
    </row>
    <row r="46" spans="1:12" ht="15.75" customHeight="1">
      <c r="A46" s="28" t="s">
        <v>22</v>
      </c>
      <c r="B46" s="261" t="s">
        <v>237</v>
      </c>
      <c r="C46" s="262"/>
      <c r="D46" s="263"/>
      <c r="E46" s="168" t="s">
        <v>417</v>
      </c>
      <c r="F46" s="225">
        <v>20</v>
      </c>
      <c r="G46" s="159">
        <v>8500</v>
      </c>
      <c r="L46" s="56"/>
    </row>
    <row r="47" spans="1:12" ht="15.75" customHeight="1">
      <c r="A47" s="28" t="s">
        <v>24</v>
      </c>
      <c r="B47" s="261" t="s">
        <v>243</v>
      </c>
      <c r="C47" s="262"/>
      <c r="D47" s="263"/>
      <c r="E47" s="168" t="s">
        <v>410</v>
      </c>
      <c r="F47" s="225">
        <v>0.01</v>
      </c>
      <c r="G47" s="159">
        <v>7336.87</v>
      </c>
      <c r="L47" s="56"/>
    </row>
    <row r="48" spans="1:12" ht="15.75" customHeight="1">
      <c r="A48" s="28" t="s">
        <v>116</v>
      </c>
      <c r="B48" s="271" t="s">
        <v>415</v>
      </c>
      <c r="C48" s="272"/>
      <c r="D48" s="273"/>
      <c r="E48" s="168" t="s">
        <v>416</v>
      </c>
      <c r="F48" s="225">
        <v>0.015</v>
      </c>
      <c r="G48" s="159">
        <v>6996.97</v>
      </c>
      <c r="L48" s="56"/>
    </row>
    <row r="49" spans="1:12" ht="15.75" customHeight="1">
      <c r="A49" s="28" t="s">
        <v>117</v>
      </c>
      <c r="B49" s="131" t="s">
        <v>285</v>
      </c>
      <c r="C49" s="132"/>
      <c r="D49" s="133"/>
      <c r="E49" s="168"/>
      <c r="F49" s="225"/>
      <c r="G49" s="159">
        <f>E26*1%</f>
        <v>540.2226</v>
      </c>
      <c r="L49" s="56"/>
    </row>
    <row r="50" spans="2:6" ht="13.5" customHeight="1">
      <c r="B50" s="13"/>
      <c r="D50" s="13"/>
      <c r="E50" s="13"/>
      <c r="F50" s="13"/>
    </row>
    <row r="51" spans="1:5" s="25" customFormat="1" ht="12.75">
      <c r="A51" s="25" t="s">
        <v>55</v>
      </c>
      <c r="C51" s="136" t="s">
        <v>49</v>
      </c>
      <c r="E51" s="25" t="s">
        <v>102</v>
      </c>
    </row>
    <row r="52" s="25" customFormat="1" ht="12.75">
      <c r="C52" s="136"/>
    </row>
    <row r="53" spans="3:6" s="3" customFormat="1" ht="15">
      <c r="C53" s="142"/>
      <c r="F53" s="4" t="s">
        <v>302</v>
      </c>
    </row>
    <row r="54" spans="1:3" s="25" customFormat="1" ht="9" customHeight="1">
      <c r="A54" s="25" t="s">
        <v>50</v>
      </c>
      <c r="C54" s="136"/>
    </row>
    <row r="55" spans="3:10" s="25" customFormat="1" ht="12.75">
      <c r="C55" s="136" t="s">
        <v>51</v>
      </c>
      <c r="G55" s="34"/>
      <c r="H55" s="34"/>
      <c r="I55" s="34"/>
      <c r="J55" s="34"/>
    </row>
    <row r="56" spans="3:9" s="25" customFormat="1" ht="12.75">
      <c r="C56" s="136"/>
      <c r="I56" s="25" t="s">
        <v>317</v>
      </c>
    </row>
    <row r="57" s="25" customFormat="1" ht="12.75">
      <c r="C57" s="136"/>
    </row>
  </sheetData>
  <sheetProtection/>
  <mergeCells count="18">
    <mergeCell ref="B45:D45"/>
    <mergeCell ref="B46:D46"/>
    <mergeCell ref="B47:D47"/>
    <mergeCell ref="B48:D48"/>
    <mergeCell ref="A10:K10"/>
    <mergeCell ref="A1:K1"/>
    <mergeCell ref="A2:K2"/>
    <mergeCell ref="A3:K3"/>
    <mergeCell ref="A5:K5"/>
    <mergeCell ref="A9:K9"/>
    <mergeCell ref="B42:D42"/>
    <mergeCell ref="B43:D43"/>
    <mergeCell ref="B44:D44"/>
    <mergeCell ref="A11:K11"/>
    <mergeCell ref="A12:C12"/>
    <mergeCell ref="A34:C34"/>
    <mergeCell ref="A39:G39"/>
    <mergeCell ref="B41:D41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9.00390625" style="1" customWidth="1"/>
    <col min="3" max="3" width="14.7109375" style="1" customWidth="1"/>
    <col min="4" max="4" width="12.57421875" style="1" customWidth="1"/>
    <col min="5" max="5" width="12.7109375" style="1" customWidth="1"/>
    <col min="6" max="6" width="12.281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0.140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6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4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7.5" customHeight="1"/>
    <row r="7" spans="1:5" s="3" customFormat="1" ht="16.5" customHeight="1">
      <c r="A7" s="3" t="s">
        <v>2</v>
      </c>
      <c r="E7" s="4" t="s">
        <v>64</v>
      </c>
    </row>
    <row r="8" spans="1:5" s="3" customFormat="1" ht="15">
      <c r="A8" s="3" t="s">
        <v>3</v>
      </c>
      <c r="E8" s="4" t="s">
        <v>65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93">
        <v>-45760.83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27785.29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-2655.88</v>
      </c>
      <c r="H16" s="40"/>
      <c r="I16" s="40"/>
    </row>
    <row r="17" s="3" customFormat="1" ht="9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5">
      <c r="A19" s="163" t="s">
        <v>14</v>
      </c>
      <c r="B19" s="129" t="s">
        <v>15</v>
      </c>
      <c r="C19" s="145">
        <f>C20+C21+C22+C23</f>
        <v>8.93</v>
      </c>
      <c r="D19" s="146">
        <v>173878.32</v>
      </c>
      <c r="E19" s="146">
        <v>171272.79</v>
      </c>
      <c r="F19" s="146">
        <f>D19</f>
        <v>173878.32</v>
      </c>
      <c r="G19" s="147">
        <f aca="true" t="shared" si="0" ref="G19:G28">E19-D19</f>
        <v>-2605.529999999999</v>
      </c>
      <c r="H19" s="117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62697.44573348265</v>
      </c>
      <c r="E20" s="67">
        <f>E19*I20</f>
        <v>61757.93771556552</v>
      </c>
      <c r="F20" s="67">
        <f>D20</f>
        <v>62697.44573348265</v>
      </c>
      <c r="G20" s="68">
        <f t="shared" si="0"/>
        <v>-939.5080179171346</v>
      </c>
      <c r="H20" s="117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30764.585173572228</v>
      </c>
      <c r="E21" s="67">
        <f>E19*I21</f>
        <v>30303.58434490481</v>
      </c>
      <c r="F21" s="67">
        <f>D21</f>
        <v>30764.585173572228</v>
      </c>
      <c r="G21" s="68">
        <f t="shared" si="0"/>
        <v>-461.0008286674165</v>
      </c>
      <c r="H21" s="117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27649.184143337065</v>
      </c>
      <c r="E22" s="67">
        <f>E19*I22</f>
        <v>27234.866942889137</v>
      </c>
      <c r="F22" s="67">
        <f>D22</f>
        <v>27649.184143337065</v>
      </c>
      <c r="G22" s="68">
        <f t="shared" si="0"/>
        <v>-414.31720044792746</v>
      </c>
      <c r="H22" s="117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52767.10494960807</v>
      </c>
      <c r="E23" s="67">
        <f>E19*I23</f>
        <v>51976.40099664054</v>
      </c>
      <c r="F23" s="67">
        <f>D23</f>
        <v>52767.10494960807</v>
      </c>
      <c r="G23" s="68">
        <f t="shared" si="0"/>
        <v>-790.703952967524</v>
      </c>
      <c r="H23" s="117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3521.85</v>
      </c>
      <c r="F25" s="146">
        <f>D25</f>
        <v>0</v>
      </c>
      <c r="G25" s="147">
        <f t="shared" si="0"/>
        <v>3521.85</v>
      </c>
    </row>
    <row r="26" spans="1:7" s="162" customFormat="1" ht="14.2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6">
        <f t="shared" si="1"/>
        <v>0</v>
      </c>
      <c r="G26" s="147">
        <f t="shared" si="0"/>
        <v>0</v>
      </c>
    </row>
    <row r="27" spans="1:13" s="162" customFormat="1" ht="14.25">
      <c r="A27" s="129" t="s">
        <v>31</v>
      </c>
      <c r="B27" s="151" t="s">
        <v>131</v>
      </c>
      <c r="C27" s="175">
        <v>1.74</v>
      </c>
      <c r="D27" s="147">
        <v>33879.72</v>
      </c>
      <c r="E27" s="147">
        <v>33470.23</v>
      </c>
      <c r="F27" s="146">
        <f>F44</f>
        <v>8695.582300000002</v>
      </c>
      <c r="G27" s="147">
        <f t="shared" si="0"/>
        <v>-409.48999999999796</v>
      </c>
      <c r="M27" s="193"/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0</v>
      </c>
      <c r="F28" s="146">
        <f>D28</f>
        <v>0</v>
      </c>
      <c r="G28" s="147">
        <f t="shared" si="0"/>
        <v>0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869370.01</v>
      </c>
      <c r="E29" s="147">
        <f>SUM(E30:E33)</f>
        <v>863553.96</v>
      </c>
      <c r="F29" s="146">
        <f t="shared" si="1"/>
        <v>869370.01</v>
      </c>
      <c r="G29" s="147">
        <f>SUM(G30:G33)</f>
        <v>-5816.050000000045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4139.16</v>
      </c>
      <c r="E30" s="68">
        <v>4090.47</v>
      </c>
      <c r="F30" s="67">
        <f>D30</f>
        <v>4139.16</v>
      </c>
      <c r="G30" s="68">
        <f>E30-D30</f>
        <v>-48.690000000000055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271035.67</v>
      </c>
      <c r="E31" s="68">
        <v>266129.02</v>
      </c>
      <c r="F31" s="67">
        <f t="shared" si="1"/>
        <v>271035.67</v>
      </c>
      <c r="G31" s="68">
        <f>E31-D31</f>
        <v>-4906.649999999965</v>
      </c>
    </row>
    <row r="32" spans="1:7" s="97" customFormat="1" ht="15">
      <c r="A32" s="95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594195.18</v>
      </c>
      <c r="E33" s="68">
        <v>593334.47</v>
      </c>
      <c r="F33" s="67">
        <f t="shared" si="1"/>
        <v>594195.18</v>
      </c>
      <c r="G33" s="68">
        <f>E33-D33</f>
        <v>-860.7100000000792</v>
      </c>
    </row>
    <row r="34" spans="1:10" s="20" customFormat="1" ht="5.2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-40451.609999999986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27785.29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22118.7677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2:5" ht="8.25" customHeight="1">
      <c r="B40" s="13"/>
      <c r="C40" s="13"/>
      <c r="D40" s="13"/>
      <c r="E40" s="13"/>
    </row>
    <row r="41" spans="1:9" ht="24.75" customHeight="1">
      <c r="A41" s="267" t="s">
        <v>44</v>
      </c>
      <c r="B41" s="267"/>
      <c r="C41" s="267"/>
      <c r="D41" s="267"/>
      <c r="E41" s="267"/>
      <c r="F41" s="267"/>
      <c r="G41" s="267"/>
      <c r="H41" s="267"/>
      <c r="I41" s="267"/>
    </row>
    <row r="42" ht="8.25" customHeight="1"/>
    <row r="43" spans="1:7" s="7" customFormat="1" ht="28.5" customHeight="1">
      <c r="A43" s="5" t="s">
        <v>11</v>
      </c>
      <c r="B43" s="285" t="s">
        <v>45</v>
      </c>
      <c r="C43" s="286"/>
      <c r="D43" s="5" t="s">
        <v>232</v>
      </c>
      <c r="E43" s="5" t="s">
        <v>231</v>
      </c>
      <c r="F43" s="285" t="s">
        <v>46</v>
      </c>
      <c r="G43" s="291"/>
    </row>
    <row r="44" spans="1:7" s="12" customFormat="1" ht="13.5" customHeight="1">
      <c r="A44" s="11">
        <v>1</v>
      </c>
      <c r="B44" s="287" t="s">
        <v>126</v>
      </c>
      <c r="C44" s="288"/>
      <c r="D44" s="169"/>
      <c r="E44" s="169"/>
      <c r="F44" s="295">
        <f>SUM(F45:G47)</f>
        <v>8695.582300000002</v>
      </c>
      <c r="G44" s="291"/>
    </row>
    <row r="45" spans="1:7" s="12" customFormat="1" ht="13.5" customHeight="1">
      <c r="A45" s="9" t="s">
        <v>16</v>
      </c>
      <c r="B45" s="306" t="s">
        <v>236</v>
      </c>
      <c r="C45" s="307"/>
      <c r="D45" s="183" t="s">
        <v>410</v>
      </c>
      <c r="E45" s="181">
        <v>0.11</v>
      </c>
      <c r="F45" s="296">
        <v>6837.55</v>
      </c>
      <c r="G45" s="296"/>
    </row>
    <row r="46" spans="1:7" s="12" customFormat="1" ht="13.5" customHeight="1">
      <c r="A46" s="9" t="s">
        <v>18</v>
      </c>
      <c r="B46" s="306" t="s">
        <v>444</v>
      </c>
      <c r="C46" s="307"/>
      <c r="D46" s="183" t="s">
        <v>412</v>
      </c>
      <c r="E46" s="181">
        <v>0.01</v>
      </c>
      <c r="F46" s="296">
        <v>1523.33</v>
      </c>
      <c r="G46" s="296"/>
    </row>
    <row r="47" spans="1:7" s="48" customFormat="1" ht="13.5" customHeight="1">
      <c r="A47" s="9" t="s">
        <v>20</v>
      </c>
      <c r="B47" s="306" t="s">
        <v>286</v>
      </c>
      <c r="C47" s="307"/>
      <c r="D47" s="181"/>
      <c r="E47" s="181"/>
      <c r="F47" s="296">
        <f>E27*1%</f>
        <v>334.70230000000004</v>
      </c>
      <c r="G47" s="296"/>
    </row>
    <row r="48" s="3" customFormat="1" ht="15"/>
    <row r="49" spans="1:6" s="3" customFormat="1" ht="15">
      <c r="A49" s="3" t="s">
        <v>55</v>
      </c>
      <c r="C49" s="3" t="s">
        <v>49</v>
      </c>
      <c r="F49" s="3" t="s">
        <v>102</v>
      </c>
    </row>
    <row r="50" s="3" customFormat="1" ht="13.5" customHeight="1">
      <c r="F50" s="4" t="s">
        <v>303</v>
      </c>
    </row>
    <row r="51" s="3" customFormat="1" ht="15">
      <c r="A51" s="3" t="s">
        <v>50</v>
      </c>
    </row>
    <row r="52" spans="3:7" s="3" customFormat="1" ht="11.25" customHeight="1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0">
    <mergeCell ref="F45:G45"/>
    <mergeCell ref="B46:C46"/>
    <mergeCell ref="F46:G46"/>
    <mergeCell ref="A12:I12"/>
    <mergeCell ref="A11:I11"/>
    <mergeCell ref="A1:I1"/>
    <mergeCell ref="A2:I2"/>
    <mergeCell ref="A5:I5"/>
    <mergeCell ref="A10:I10"/>
    <mergeCell ref="A3:K3"/>
    <mergeCell ref="B47:C47"/>
    <mergeCell ref="F47:G47"/>
    <mergeCell ref="A13:C13"/>
    <mergeCell ref="A35:C35"/>
    <mergeCell ref="F44:G44"/>
    <mergeCell ref="A41:I41"/>
    <mergeCell ref="F43:G43"/>
    <mergeCell ref="B43:C43"/>
    <mergeCell ref="B44:C44"/>
    <mergeCell ref="B45:C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0.57421875" style="1" customWidth="1"/>
    <col min="3" max="3" width="13.140625" style="1" customWidth="1"/>
    <col min="4" max="4" width="12.8515625" style="1" customWidth="1"/>
    <col min="5" max="5" width="13.421875" style="1" customWidth="1"/>
    <col min="6" max="6" width="13.00390625" style="1" customWidth="1"/>
    <col min="7" max="7" width="14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0.140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7.25" customHeight="1">
      <c r="A3" s="274" t="s">
        <v>307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5" s="3" customFormat="1" ht="16.5" customHeight="1">
      <c r="A7" s="3" t="s">
        <v>2</v>
      </c>
      <c r="E7" s="4" t="s">
        <v>66</v>
      </c>
    </row>
    <row r="8" spans="1:5" s="3" customFormat="1" ht="15">
      <c r="A8" s="3" t="s">
        <v>3</v>
      </c>
      <c r="E8" s="4" t="s">
        <v>153</v>
      </c>
    </row>
    <row r="9" s="3" customFormat="1" ht="8.2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792848.17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13671.87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-95689.84</v>
      </c>
      <c r="H16" s="40"/>
      <c r="I16" s="40"/>
    </row>
    <row r="17" s="3" customFormat="1" ht="7.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31.5" customHeight="1">
      <c r="A19" s="163" t="s">
        <v>14</v>
      </c>
      <c r="B19" s="129" t="s">
        <v>15</v>
      </c>
      <c r="C19" s="145">
        <f>C20+C21+C22+C23</f>
        <v>9.350000000000001</v>
      </c>
      <c r="D19" s="146">
        <v>284267.28</v>
      </c>
      <c r="E19" s="146">
        <v>287635.9</v>
      </c>
      <c r="F19" s="146">
        <f>D19</f>
        <v>284267.28</v>
      </c>
      <c r="G19" s="147">
        <f aca="true" t="shared" si="0" ref="G19:G28">E19-D19</f>
        <v>3368.6199999999953</v>
      </c>
      <c r="H19" s="148">
        <f>C19</f>
        <v>9.350000000000001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97897.39482352941</v>
      </c>
      <c r="E20" s="67">
        <f>E19*I20</f>
        <v>99057.49711229946</v>
      </c>
      <c r="F20" s="67">
        <f>D20</f>
        <v>97897.39482352941</v>
      </c>
      <c r="G20" s="68">
        <f t="shared" si="0"/>
        <v>1160.1022887700528</v>
      </c>
      <c r="H20" s="143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46516.464</v>
      </c>
      <c r="E21" s="67">
        <f>E19*I21</f>
        <v>47067.692727272726</v>
      </c>
      <c r="F21" s="67">
        <f>D21</f>
        <v>46516.464</v>
      </c>
      <c r="G21" s="68">
        <f t="shared" si="0"/>
        <v>551.2287272727262</v>
      </c>
      <c r="H21" s="143">
        <f>C21</f>
        <v>1.53</v>
      </c>
      <c r="I21" s="15">
        <f>H21/H19</f>
        <v>0.1636363636363636</v>
      </c>
    </row>
    <row r="22" spans="1:9" s="3" customFormat="1" ht="15" customHeight="1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57461.51435294118</v>
      </c>
      <c r="E22" s="67">
        <f>E19*I22</f>
        <v>58142.44395721925</v>
      </c>
      <c r="F22" s="67">
        <f>D22</f>
        <v>57461.51435294118</v>
      </c>
      <c r="G22" s="68">
        <f t="shared" si="0"/>
        <v>680.9296042780697</v>
      </c>
      <c r="H22" s="143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82391.90682352941</v>
      </c>
      <c r="E23" s="67">
        <f>E19*I23</f>
        <v>83368.26620320855</v>
      </c>
      <c r="F23" s="67">
        <f>D23</f>
        <v>82391.90682352941</v>
      </c>
      <c r="G23" s="68">
        <f t="shared" si="0"/>
        <v>976.3593796791392</v>
      </c>
      <c r="H23" s="143">
        <f>C23</f>
        <v>2.71</v>
      </c>
      <c r="I23" s="15">
        <f>H23/H19</f>
        <v>0.28983957219251333</v>
      </c>
    </row>
    <row r="24" spans="1:7" s="162" customFormat="1" ht="15" customHeight="1">
      <c r="A24" s="129" t="s">
        <v>25</v>
      </c>
      <c r="B24" s="151" t="s">
        <v>26</v>
      </c>
      <c r="C24" s="152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3.5" customHeight="1">
      <c r="A25" s="129" t="s">
        <v>27</v>
      </c>
      <c r="B25" s="151" t="s">
        <v>28</v>
      </c>
      <c r="C25" s="152">
        <v>0</v>
      </c>
      <c r="D25" s="147">
        <v>0</v>
      </c>
      <c r="E25" s="147">
        <v>10578.87</v>
      </c>
      <c r="F25" s="146">
        <f>D25</f>
        <v>0</v>
      </c>
      <c r="G25" s="147">
        <f t="shared" si="0"/>
        <v>10578.87</v>
      </c>
    </row>
    <row r="26" spans="1:7" s="162" customFormat="1" ht="15.75" customHeight="1">
      <c r="A26" s="129" t="s">
        <v>29</v>
      </c>
      <c r="B26" s="151" t="s">
        <v>230</v>
      </c>
      <c r="C26" s="152">
        <v>1832.48</v>
      </c>
      <c r="D26" s="147">
        <v>13469.04</v>
      </c>
      <c r="E26" s="147">
        <v>12946.92</v>
      </c>
      <c r="F26" s="146">
        <f t="shared" si="1"/>
        <v>13469.04</v>
      </c>
      <c r="G26" s="147">
        <f t="shared" si="0"/>
        <v>-522.1200000000008</v>
      </c>
    </row>
    <row r="27" spans="1:13" s="162" customFormat="1" ht="14.25">
      <c r="A27" s="129" t="s">
        <v>31</v>
      </c>
      <c r="B27" s="151" t="s">
        <v>131</v>
      </c>
      <c r="C27" s="152">
        <v>2.82</v>
      </c>
      <c r="D27" s="147">
        <v>85735.44</v>
      </c>
      <c r="E27" s="147">
        <v>86723.51</v>
      </c>
      <c r="F27" s="146">
        <f>F43</f>
        <v>2237.9751</v>
      </c>
      <c r="G27" s="147">
        <f t="shared" si="0"/>
        <v>988.0699999999924</v>
      </c>
      <c r="M27" s="193"/>
    </row>
    <row r="28" spans="1:7" s="162" customFormat="1" ht="14.25">
      <c r="A28" s="129" t="s">
        <v>33</v>
      </c>
      <c r="B28" s="36" t="s">
        <v>34</v>
      </c>
      <c r="C28" s="145">
        <v>0</v>
      </c>
      <c r="D28" s="147">
        <v>0</v>
      </c>
      <c r="E28" s="147">
        <v>2775.46</v>
      </c>
      <c r="F28" s="146">
        <f>D28</f>
        <v>0</v>
      </c>
      <c r="G28" s="147">
        <f t="shared" si="0"/>
        <v>2775.46</v>
      </c>
    </row>
    <row r="29" spans="1:7" s="162" customFormat="1" ht="14.25">
      <c r="A29" s="129" t="s">
        <v>35</v>
      </c>
      <c r="B29" s="36" t="s">
        <v>36</v>
      </c>
      <c r="C29" s="145"/>
      <c r="D29" s="147">
        <f>SUM(D30:D33)</f>
        <v>1286432.81</v>
      </c>
      <c r="E29" s="147">
        <f>SUM(E30:E33)</f>
        <v>1333559.2600000002</v>
      </c>
      <c r="F29" s="146">
        <f t="shared" si="1"/>
        <v>1286432.81</v>
      </c>
      <c r="G29" s="147">
        <f>SUM(G30:G33)</f>
        <v>47126.45000000001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66510.04</v>
      </c>
      <c r="E30" s="68">
        <v>65401.58</v>
      </c>
      <c r="F30" s="67">
        <f>D30</f>
        <v>66510.04</v>
      </c>
      <c r="G30" s="68">
        <f>E30-D30</f>
        <v>-1108.4599999999919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255770.15</v>
      </c>
      <c r="E31" s="68">
        <v>270606.53</v>
      </c>
      <c r="F31" s="67">
        <f t="shared" si="1"/>
        <v>255770.15</v>
      </c>
      <c r="G31" s="68">
        <f>E31-D31</f>
        <v>14836.380000000034</v>
      </c>
    </row>
    <row r="32" spans="1:7" s="97" customFormat="1" ht="15">
      <c r="A32" s="95" t="s">
        <v>42</v>
      </c>
      <c r="B32" s="9" t="s">
        <v>40</v>
      </c>
      <c r="C32" s="182" t="s">
        <v>346</v>
      </c>
      <c r="D32" s="96">
        <v>371231.94</v>
      </c>
      <c r="E32" s="96">
        <v>400544.73</v>
      </c>
      <c r="F32" s="67">
        <f t="shared" si="1"/>
        <v>371231.94</v>
      </c>
      <c r="G32" s="96">
        <f>E32-D32</f>
        <v>29312.78999999998</v>
      </c>
    </row>
    <row r="33" spans="1:7" ht="15" customHeight="1">
      <c r="A33" s="9" t="s">
        <v>41</v>
      </c>
      <c r="B33" s="9" t="s">
        <v>43</v>
      </c>
      <c r="C33" s="134" t="s">
        <v>316</v>
      </c>
      <c r="D33" s="68">
        <v>592920.68</v>
      </c>
      <c r="E33" s="68">
        <v>597006.42</v>
      </c>
      <c r="F33" s="67">
        <f t="shared" si="1"/>
        <v>592920.68</v>
      </c>
      <c r="G33" s="68">
        <f>E33-D33</f>
        <v>4085.7399999999907</v>
      </c>
    </row>
    <row r="34" spans="1:10" s="20" customFormat="1" ht="7.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728532.8200000001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16447.33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-11204.305100000001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6.2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2.75" customHeight="1">
      <c r="A43" s="11" t="s">
        <v>47</v>
      </c>
      <c r="B43" s="287" t="s">
        <v>126</v>
      </c>
      <c r="C43" s="288"/>
      <c r="D43" s="169"/>
      <c r="E43" s="169"/>
      <c r="F43" s="295">
        <f>SUM(F44:G45)</f>
        <v>2237.9751</v>
      </c>
      <c r="G43" s="291"/>
    </row>
    <row r="44" spans="1:7" ht="12.75" customHeight="1">
      <c r="A44" s="9" t="s">
        <v>16</v>
      </c>
      <c r="B44" s="271" t="s">
        <v>445</v>
      </c>
      <c r="C44" s="273"/>
      <c r="D44" s="168" t="s">
        <v>416</v>
      </c>
      <c r="E44" s="168">
        <v>0.02</v>
      </c>
      <c r="F44" s="294">
        <v>1370.74</v>
      </c>
      <c r="G44" s="294"/>
    </row>
    <row r="45" spans="1:7" ht="12.75" customHeight="1">
      <c r="A45" s="9" t="s">
        <v>18</v>
      </c>
      <c r="B45" s="271" t="s">
        <v>286</v>
      </c>
      <c r="C45" s="273"/>
      <c r="D45" s="168"/>
      <c r="E45" s="168"/>
      <c r="F45" s="308">
        <f>E27*1%</f>
        <v>867.2351</v>
      </c>
      <c r="G45" s="309"/>
    </row>
    <row r="46" spans="2:5" ht="15">
      <c r="B46" s="13"/>
      <c r="C46" s="13"/>
      <c r="D46" s="13"/>
      <c r="E46" s="13"/>
    </row>
    <row r="47" spans="1:6" s="3" customFormat="1" ht="15">
      <c r="A47" s="3" t="s">
        <v>55</v>
      </c>
      <c r="C47" s="3" t="s">
        <v>49</v>
      </c>
      <c r="F47" s="3" t="s">
        <v>102</v>
      </c>
    </row>
    <row r="48" s="3" customFormat="1" ht="13.5" customHeight="1">
      <c r="F48" s="4" t="s">
        <v>303</v>
      </c>
    </row>
    <row r="49" s="3" customFormat="1" ht="15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18">
    <mergeCell ref="A13:C13"/>
    <mergeCell ref="A35:C35"/>
    <mergeCell ref="A12:I12"/>
    <mergeCell ref="A40:I40"/>
    <mergeCell ref="F43:G43"/>
    <mergeCell ref="F42:G42"/>
    <mergeCell ref="B42:C42"/>
    <mergeCell ref="B43:C43"/>
    <mergeCell ref="F45:G45"/>
    <mergeCell ref="B45:C45"/>
    <mergeCell ref="A1:I1"/>
    <mergeCell ref="A2:I2"/>
    <mergeCell ref="A5:I5"/>
    <mergeCell ref="A10:I10"/>
    <mergeCell ref="A3:K3"/>
    <mergeCell ref="F44:G44"/>
    <mergeCell ref="B44:C44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4.421875" style="1" customWidth="1"/>
    <col min="3" max="3" width="14.8515625" style="1" customWidth="1"/>
    <col min="4" max="4" width="12.8515625" style="1" customWidth="1"/>
    <col min="5" max="5" width="12.57421875" style="1" customWidth="1"/>
    <col min="6" max="6" width="12.0039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0.8515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6.5" customHeight="1">
      <c r="A7" s="3" t="s">
        <v>2</v>
      </c>
      <c r="F7" s="4" t="s">
        <v>67</v>
      </c>
    </row>
    <row r="8" spans="1:6" s="3" customFormat="1" ht="15">
      <c r="A8" s="3" t="s">
        <v>3</v>
      </c>
      <c r="F8" s="4" t="s">
        <v>68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240254.16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13888.84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-80458.22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14" s="165" customFormat="1" ht="28.5">
      <c r="A19" s="163" t="s">
        <v>14</v>
      </c>
      <c r="B19" s="129" t="s">
        <v>15</v>
      </c>
      <c r="C19" s="145">
        <f>C20+C21+C22+C23</f>
        <v>8.93</v>
      </c>
      <c r="D19" s="146">
        <v>184336.68</v>
      </c>
      <c r="E19" s="146">
        <v>180269.19</v>
      </c>
      <c r="F19" s="146">
        <f>D19</f>
        <v>184336.68</v>
      </c>
      <c r="G19" s="147">
        <f aca="true" t="shared" si="0" ref="G19:G28">E19-D19</f>
        <v>-4067.4899999999907</v>
      </c>
      <c r="H19" s="164">
        <f>C19</f>
        <v>8.93</v>
      </c>
      <c r="N19" s="164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66468.54530795073</v>
      </c>
      <c r="E20" s="67">
        <f>E19*I20</f>
        <v>65001.88038073909</v>
      </c>
      <c r="F20" s="67">
        <f>D20</f>
        <v>66468.54530795073</v>
      </c>
      <c r="G20" s="68">
        <f t="shared" si="0"/>
        <v>-1466.664927211641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32615.00049272116</v>
      </c>
      <c r="E21" s="67">
        <f>E19*I21</f>
        <v>31895.33260918253</v>
      </c>
      <c r="F21" s="67">
        <f>D21</f>
        <v>32615.00049272116</v>
      </c>
      <c r="G21" s="68">
        <f t="shared" si="0"/>
        <v>-719.6678835386301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29312.215632698764</v>
      </c>
      <c r="E22" s="67">
        <f>E19*I22</f>
        <v>28665.425509518474</v>
      </c>
      <c r="F22" s="67">
        <f>D22</f>
        <v>29312.215632698764</v>
      </c>
      <c r="G22" s="68">
        <f t="shared" si="0"/>
        <v>-646.7901231802898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55940.91856662934</v>
      </c>
      <c r="E23" s="67">
        <f>E19*I23</f>
        <v>54706.551500559915</v>
      </c>
      <c r="F23" s="67">
        <f>D23</f>
        <v>55940.91856662934</v>
      </c>
      <c r="G23" s="68">
        <f t="shared" si="0"/>
        <v>-1234.367066069426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859.23</v>
      </c>
      <c r="F25" s="146">
        <f>D25</f>
        <v>0</v>
      </c>
      <c r="G25" s="147">
        <f t="shared" si="0"/>
        <v>859.23</v>
      </c>
    </row>
    <row r="26" spans="1:7" s="162" customFormat="1" ht="14.25">
      <c r="A26" s="129" t="s">
        <v>29</v>
      </c>
      <c r="B26" s="151" t="s">
        <v>230</v>
      </c>
      <c r="C26" s="152">
        <v>1832.48</v>
      </c>
      <c r="D26" s="147">
        <v>13468.66</v>
      </c>
      <c r="E26" s="147">
        <v>13207.13</v>
      </c>
      <c r="F26" s="146">
        <f t="shared" si="1"/>
        <v>13468.66</v>
      </c>
      <c r="G26" s="147">
        <f t="shared" si="0"/>
        <v>-261.53000000000065</v>
      </c>
    </row>
    <row r="27" spans="1:13" s="162" customFormat="1" ht="14.25">
      <c r="A27" s="129" t="s">
        <v>31</v>
      </c>
      <c r="B27" s="151" t="s">
        <v>131</v>
      </c>
      <c r="C27" s="175">
        <v>1.74</v>
      </c>
      <c r="D27" s="147">
        <v>35917.44</v>
      </c>
      <c r="E27" s="147">
        <v>35133.56</v>
      </c>
      <c r="F27" s="146">
        <f>F43</f>
        <v>122486.7056</v>
      </c>
      <c r="G27" s="147">
        <f t="shared" si="0"/>
        <v>-783.8800000000047</v>
      </c>
      <c r="M27" s="193"/>
    </row>
    <row r="28" spans="1:7" s="114" customFormat="1" ht="14.25">
      <c r="A28" s="170" t="s">
        <v>33</v>
      </c>
      <c r="B28" s="36" t="s">
        <v>34</v>
      </c>
      <c r="C28" s="176">
        <v>0</v>
      </c>
      <c r="D28" s="147">
        <v>0</v>
      </c>
      <c r="E28" s="147">
        <v>0</v>
      </c>
      <c r="F28" s="146">
        <f>D28</f>
        <v>0</v>
      </c>
      <c r="G28" s="147">
        <f t="shared" si="0"/>
        <v>0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645867.02</v>
      </c>
      <c r="E29" s="147">
        <f>SUM(E30:E33)</f>
        <v>620180.19</v>
      </c>
      <c r="F29" s="146">
        <f t="shared" si="1"/>
        <v>645867.02</v>
      </c>
      <c r="G29" s="147">
        <f>SUM(G30:G33)</f>
        <v>-25686.830000000016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19550.7</v>
      </c>
      <c r="E30" s="68">
        <v>19125.01</v>
      </c>
      <c r="F30" s="67">
        <f>D30</f>
        <v>19550.7</v>
      </c>
      <c r="G30" s="68">
        <f>E30-D30</f>
        <v>-425.6900000000023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237233.43</v>
      </c>
      <c r="E31" s="68">
        <v>217537.75</v>
      </c>
      <c r="F31" s="67">
        <f t="shared" si="1"/>
        <v>237233.43</v>
      </c>
      <c r="G31" s="68">
        <f>E31-D31</f>
        <v>-19695.679999999993</v>
      </c>
    </row>
    <row r="32" spans="1:7" s="97" customFormat="1" ht="15">
      <c r="A32" s="95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389082.89</v>
      </c>
      <c r="E33" s="68">
        <v>383517.43</v>
      </c>
      <c r="F33" s="67">
        <f t="shared" si="1"/>
        <v>389082.89</v>
      </c>
      <c r="G33" s="68">
        <f>E33-D33</f>
        <v>-5565.460000000021</v>
      </c>
    </row>
    <row r="34" spans="1:10" s="20" customFormat="1" ht="7.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270194.66000000015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13888.84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-167811.36560000002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7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4.5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2.75" customHeight="1">
      <c r="A43" s="11" t="s">
        <v>47</v>
      </c>
      <c r="B43" s="287" t="s">
        <v>126</v>
      </c>
      <c r="C43" s="288"/>
      <c r="D43" s="157"/>
      <c r="E43" s="157"/>
      <c r="F43" s="295">
        <f>SUM(F44:G46)</f>
        <v>122486.7056</v>
      </c>
      <c r="G43" s="291"/>
    </row>
    <row r="44" spans="1:7" ht="12.75" customHeight="1">
      <c r="A44" s="9" t="s">
        <v>16</v>
      </c>
      <c r="B44" s="271" t="s">
        <v>169</v>
      </c>
      <c r="C44" s="273"/>
      <c r="D44" s="158" t="s">
        <v>239</v>
      </c>
      <c r="E44" s="158"/>
      <c r="F44" s="308">
        <v>118695.9</v>
      </c>
      <c r="G44" s="309"/>
    </row>
    <row r="45" spans="1:7" ht="12.75" customHeight="1">
      <c r="A45" s="9" t="s">
        <v>18</v>
      </c>
      <c r="B45" s="271" t="s">
        <v>409</v>
      </c>
      <c r="C45" s="273"/>
      <c r="D45" s="158" t="s">
        <v>410</v>
      </c>
      <c r="E45" s="158">
        <v>0.08</v>
      </c>
      <c r="F45" s="308">
        <v>3439.47</v>
      </c>
      <c r="G45" s="309"/>
    </row>
    <row r="46" spans="1:7" s="48" customFormat="1" ht="12.75" customHeight="1">
      <c r="A46" s="9" t="s">
        <v>20</v>
      </c>
      <c r="B46" s="306" t="s">
        <v>286</v>
      </c>
      <c r="C46" s="307"/>
      <c r="D46" s="178"/>
      <c r="E46" s="178"/>
      <c r="F46" s="310">
        <f>E27*1%</f>
        <v>351.3356</v>
      </c>
      <c r="G46" s="311"/>
    </row>
    <row r="47" spans="1:7" s="48" customFormat="1" ht="12.75" customHeight="1">
      <c r="A47" s="49"/>
      <c r="B47" s="94"/>
      <c r="C47" s="51"/>
      <c r="D47" s="224"/>
      <c r="E47" s="224"/>
      <c r="F47" s="52"/>
      <c r="G47" s="52"/>
    </row>
    <row r="48" spans="1:6" s="3" customFormat="1" ht="15">
      <c r="A48" s="3" t="s">
        <v>55</v>
      </c>
      <c r="C48" s="3" t="s">
        <v>49</v>
      </c>
      <c r="F48" s="3" t="s">
        <v>102</v>
      </c>
    </row>
    <row r="49" s="3" customFormat="1" ht="13.5" customHeight="1">
      <c r="F49" s="4" t="s">
        <v>303</v>
      </c>
    </row>
    <row r="50" s="3" customFormat="1" ht="15">
      <c r="A50" s="3" t="s">
        <v>50</v>
      </c>
    </row>
    <row r="51" spans="3:7" s="3" customFormat="1" ht="15">
      <c r="C51" s="14" t="s">
        <v>51</v>
      </c>
      <c r="E51" s="14"/>
      <c r="F51" s="14"/>
      <c r="G51" s="14"/>
    </row>
    <row r="52" s="3" customFormat="1" ht="15"/>
    <row r="53" s="3" customFormat="1" ht="15"/>
  </sheetData>
  <sheetProtection/>
  <mergeCells count="20">
    <mergeCell ref="A35:C35"/>
    <mergeCell ref="F46:G46"/>
    <mergeCell ref="B46:C46"/>
    <mergeCell ref="F45:G45"/>
    <mergeCell ref="B45:C45"/>
    <mergeCell ref="F43:G43"/>
    <mergeCell ref="B42:C42"/>
    <mergeCell ref="B43:C43"/>
    <mergeCell ref="F44:G44"/>
    <mergeCell ref="B44:C44"/>
    <mergeCell ref="A11:I11"/>
    <mergeCell ref="A12:I12"/>
    <mergeCell ref="A13:C13"/>
    <mergeCell ref="A40:I40"/>
    <mergeCell ref="F42:G42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G16" sqref="G16"/>
    </sheetView>
  </sheetViews>
  <sheetFormatPr defaultColWidth="9.140625" defaultRowHeight="15" outlineLevelCol="1"/>
  <cols>
    <col min="1" max="1" width="4.7109375" style="1" customWidth="1"/>
    <col min="2" max="2" width="41.421875" style="1" customWidth="1"/>
    <col min="3" max="3" width="13.28125" style="1" customWidth="1"/>
    <col min="4" max="4" width="13.57421875" style="1" customWidth="1"/>
    <col min="5" max="5" width="13.140625" style="1" customWidth="1"/>
    <col min="6" max="6" width="12.8515625" style="1" customWidth="1"/>
    <col min="7" max="7" width="13.28125" style="1" customWidth="1"/>
    <col min="8" max="8" width="10.8515625" style="1" hidden="1" customWidth="1" outlineLevel="1"/>
    <col min="9" max="9" width="14.42187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10.140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.75" customHeight="1"/>
    <row r="7" spans="1:6" s="3" customFormat="1" ht="16.5" customHeight="1">
      <c r="A7" s="3" t="s">
        <v>2</v>
      </c>
      <c r="F7" s="4" t="s">
        <v>69</v>
      </c>
    </row>
    <row r="8" spans="1:6" s="3" customFormat="1" ht="15">
      <c r="A8" s="3" t="s">
        <v>3</v>
      </c>
      <c r="F8" s="4" t="s">
        <v>154</v>
      </c>
    </row>
    <row r="9" s="3" customFormat="1" ht="18" customHeight="1"/>
    <row r="10" spans="1:9" s="3" customFormat="1" ht="11.25" customHeight="1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3.5" customHeight="1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2.75" customHeight="1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561700.01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15675.46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-13680.71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29.25">
      <c r="A19" s="163" t="s">
        <v>14</v>
      </c>
      <c r="B19" s="129" t="s">
        <v>15</v>
      </c>
      <c r="C19" s="145">
        <f>C20+C21+C22+C23</f>
        <v>8.93</v>
      </c>
      <c r="D19" s="146">
        <v>207269.04</v>
      </c>
      <c r="E19" s="146">
        <f>217183.23+206.35</f>
        <v>217389.58000000002</v>
      </c>
      <c r="F19" s="146">
        <f>D19</f>
        <v>207269.04</v>
      </c>
      <c r="G19" s="147">
        <f aca="true" t="shared" si="0" ref="G19:G28">E19-D19</f>
        <v>10120.540000000008</v>
      </c>
      <c r="H19" s="117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74737.54857782756</v>
      </c>
      <c r="E20" s="67">
        <f>E19*I20</f>
        <v>78386.83623740202</v>
      </c>
      <c r="F20" s="67">
        <f>D20</f>
        <v>74737.54857782756</v>
      </c>
      <c r="G20" s="68">
        <f t="shared" si="0"/>
        <v>3649.28765957446</v>
      </c>
      <c r="H20" s="117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36672.46172452407</v>
      </c>
      <c r="E21" s="67">
        <f>E19*I21</f>
        <v>38463.105979843225</v>
      </c>
      <c r="F21" s="67">
        <f>D21</f>
        <v>36672.46172452407</v>
      </c>
      <c r="G21" s="68">
        <f t="shared" si="0"/>
        <v>1790.6442553191519</v>
      </c>
      <c r="H21" s="117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32958.794714445685</v>
      </c>
      <c r="E22" s="67">
        <f>E19*I22</f>
        <v>34568.10790593505</v>
      </c>
      <c r="F22" s="67">
        <f>D22</f>
        <v>32958.794714445685</v>
      </c>
      <c r="G22" s="68">
        <f t="shared" si="0"/>
        <v>1609.3131914893675</v>
      </c>
      <c r="H22" s="117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62900.23498320269</v>
      </c>
      <c r="E23" s="67">
        <f>E19*I23</f>
        <v>65971.52987681971</v>
      </c>
      <c r="F23" s="67">
        <f>D23</f>
        <v>62900.23498320269</v>
      </c>
      <c r="G23" s="68">
        <f t="shared" si="0"/>
        <v>3071.2948936170214</v>
      </c>
      <c r="H23" s="117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13359.55</v>
      </c>
      <c r="F25" s="146">
        <f>D25</f>
        <v>0</v>
      </c>
      <c r="G25" s="147">
        <f t="shared" si="0"/>
        <v>13359.55</v>
      </c>
    </row>
    <row r="26" spans="1:7" s="162" customFormat="1" ht="14.25">
      <c r="A26" s="129" t="s">
        <v>29</v>
      </c>
      <c r="B26" s="151" t="s">
        <v>230</v>
      </c>
      <c r="C26" s="152">
        <v>1832.48</v>
      </c>
      <c r="D26" s="147">
        <v>152.64</v>
      </c>
      <c r="E26" s="147">
        <v>197.01</v>
      </c>
      <c r="F26" s="146">
        <f t="shared" si="1"/>
        <v>152.64</v>
      </c>
      <c r="G26" s="147">
        <f t="shared" si="0"/>
        <v>44.370000000000005</v>
      </c>
    </row>
    <row r="27" spans="1:13" s="162" customFormat="1" ht="14.25">
      <c r="A27" s="129" t="s">
        <v>31</v>
      </c>
      <c r="B27" s="151" t="s">
        <v>131</v>
      </c>
      <c r="C27" s="175">
        <v>1.74</v>
      </c>
      <c r="D27" s="147">
        <v>40386.24</v>
      </c>
      <c r="E27" s="147">
        <v>44765.02</v>
      </c>
      <c r="F27" s="146">
        <f>F44</f>
        <v>447.6502</v>
      </c>
      <c r="G27" s="147">
        <f t="shared" si="0"/>
        <v>4378.779999999999</v>
      </c>
      <c r="M27" s="193"/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1096.14</v>
      </c>
      <c r="F28" s="146">
        <f>D28</f>
        <v>0</v>
      </c>
      <c r="G28" s="147">
        <f t="shared" si="0"/>
        <v>1096.14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1082090.28</v>
      </c>
      <c r="E29" s="147">
        <f>SUM(E30:E33)</f>
        <v>1127539.32</v>
      </c>
      <c r="F29" s="146">
        <f t="shared" si="1"/>
        <v>1082090.28</v>
      </c>
      <c r="G29" s="147">
        <f>SUM(G30:G33)</f>
        <v>45449.040000000045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13851.06</v>
      </c>
      <c r="E30" s="68">
        <v>14092.18</v>
      </c>
      <c r="F30" s="67">
        <f>D30</f>
        <v>13851.06</v>
      </c>
      <c r="G30" s="68">
        <f>E30-D30</f>
        <v>241.1200000000008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359936.26</v>
      </c>
      <c r="E31" s="68">
        <v>393159.63</v>
      </c>
      <c r="F31" s="67">
        <f t="shared" si="1"/>
        <v>359936.26</v>
      </c>
      <c r="G31" s="68">
        <f>E31-D31</f>
        <v>33223.369999999995</v>
      </c>
    </row>
    <row r="32" spans="1:7" ht="15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708302.96</v>
      </c>
      <c r="E33" s="68">
        <v>720287.51</v>
      </c>
      <c r="F33" s="67">
        <f t="shared" si="1"/>
        <v>708302.96</v>
      </c>
      <c r="G33" s="68">
        <f>E33-D33</f>
        <v>11984.550000000047</v>
      </c>
    </row>
    <row r="34" spans="1:10" s="20" customFormat="1" ht="6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487251.58999999985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16771.6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30636.659799999998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="3" customFormat="1" ht="9" customHeight="1"/>
    <row r="41" spans="1:9" ht="23.25" customHeight="1">
      <c r="A41" s="267" t="s">
        <v>44</v>
      </c>
      <c r="B41" s="267"/>
      <c r="C41" s="267"/>
      <c r="D41" s="267"/>
      <c r="E41" s="267"/>
      <c r="F41" s="267"/>
      <c r="G41" s="267"/>
      <c r="H41" s="267"/>
      <c r="I41" s="267"/>
    </row>
    <row r="42" ht="6.75" customHeight="1"/>
    <row r="43" spans="1:7" s="7" customFormat="1" ht="28.5" customHeight="1">
      <c r="A43" s="5" t="s">
        <v>11</v>
      </c>
      <c r="B43" s="285" t="s">
        <v>45</v>
      </c>
      <c r="C43" s="286"/>
      <c r="D43" s="5" t="s">
        <v>232</v>
      </c>
      <c r="E43" s="5" t="s">
        <v>231</v>
      </c>
      <c r="F43" s="285" t="s">
        <v>46</v>
      </c>
      <c r="G43" s="291"/>
    </row>
    <row r="44" spans="1:7" s="12" customFormat="1" ht="13.5" customHeight="1">
      <c r="A44" s="11" t="s">
        <v>47</v>
      </c>
      <c r="B44" s="287" t="s">
        <v>126</v>
      </c>
      <c r="C44" s="288"/>
      <c r="D44" s="157"/>
      <c r="E44" s="157"/>
      <c r="F44" s="295">
        <f>SUM(F45:G45)</f>
        <v>447.6502</v>
      </c>
      <c r="G44" s="291"/>
    </row>
    <row r="45" spans="1:7" s="48" customFormat="1" ht="13.5" customHeight="1">
      <c r="A45" s="9" t="s">
        <v>16</v>
      </c>
      <c r="B45" s="312" t="s">
        <v>286</v>
      </c>
      <c r="C45" s="313"/>
      <c r="D45" s="178"/>
      <c r="E45" s="178"/>
      <c r="F45" s="310">
        <f>E27*1%</f>
        <v>447.6502</v>
      </c>
      <c r="G45" s="311"/>
    </row>
    <row r="46" spans="1:7" s="48" customFormat="1" ht="15.75" customHeight="1">
      <c r="A46" s="50"/>
      <c r="B46" s="51"/>
      <c r="C46" s="51"/>
      <c r="D46" s="51"/>
      <c r="E46" s="51"/>
      <c r="F46" s="52"/>
      <c r="G46" s="52"/>
    </row>
    <row r="47" spans="1:6" s="3" customFormat="1" ht="15">
      <c r="A47" s="3" t="s">
        <v>55</v>
      </c>
      <c r="C47" s="3" t="s">
        <v>49</v>
      </c>
      <c r="F47" s="3" t="s">
        <v>102</v>
      </c>
    </row>
    <row r="48" s="3" customFormat="1" ht="13.5" customHeight="1">
      <c r="F48" s="4" t="s">
        <v>303</v>
      </c>
    </row>
    <row r="49" s="3" customFormat="1" ht="21" customHeight="1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16">
    <mergeCell ref="A1:I1"/>
    <mergeCell ref="A2:I2"/>
    <mergeCell ref="A5:I5"/>
    <mergeCell ref="A10:I10"/>
    <mergeCell ref="A3:K3"/>
    <mergeCell ref="A11:I11"/>
    <mergeCell ref="F45:G45"/>
    <mergeCell ref="B45:C45"/>
    <mergeCell ref="A13:C13"/>
    <mergeCell ref="A12:I12"/>
    <mergeCell ref="A35:C35"/>
    <mergeCell ref="A41:I41"/>
    <mergeCell ref="F43:G43"/>
    <mergeCell ref="F44:G44"/>
    <mergeCell ref="B43:C43"/>
    <mergeCell ref="B44:C44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28" sqref="B28"/>
    </sheetView>
  </sheetViews>
  <sheetFormatPr defaultColWidth="9.140625" defaultRowHeight="15" outlineLevelCol="1"/>
  <cols>
    <col min="1" max="1" width="4.7109375" style="1" customWidth="1"/>
    <col min="2" max="2" width="43.28125" style="1" customWidth="1"/>
    <col min="3" max="3" width="13.140625" style="1" customWidth="1"/>
    <col min="4" max="4" width="12.00390625" style="1" customWidth="1"/>
    <col min="5" max="5" width="12.57421875" style="1" customWidth="1"/>
    <col min="6" max="6" width="11.14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8515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70</v>
      </c>
    </row>
    <row r="8" spans="1:6" s="3" customFormat="1" ht="15">
      <c r="A8" s="3" t="s">
        <v>3</v>
      </c>
      <c r="F8" s="4" t="s">
        <v>71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126533.98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15564.15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24224.38</v>
      </c>
      <c r="H16" s="40"/>
      <c r="I16" s="40"/>
    </row>
    <row r="17" s="3" customFormat="1" ht="9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28.5">
      <c r="A19" s="163" t="s">
        <v>14</v>
      </c>
      <c r="B19" s="129" t="s">
        <v>15</v>
      </c>
      <c r="C19" s="145">
        <f>C20+C21+C22+C23</f>
        <v>8.93</v>
      </c>
      <c r="D19" s="146">
        <v>137422.08</v>
      </c>
      <c r="E19" s="146">
        <v>145803.13</v>
      </c>
      <c r="F19" s="146">
        <f>D19</f>
        <v>137422.08</v>
      </c>
      <c r="G19" s="147">
        <f aca="true" t="shared" si="0" ref="G19:G28">E19-D19</f>
        <v>8381.050000000017</v>
      </c>
      <c r="H19" s="164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49551.97061590145</v>
      </c>
      <c r="E20" s="67">
        <f>E19*I20</f>
        <v>52574.02895856663</v>
      </c>
      <c r="F20" s="67">
        <f>D20</f>
        <v>49551.97061590145</v>
      </c>
      <c r="G20" s="68">
        <f t="shared" si="0"/>
        <v>3022.058342665179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24314.320985442326</v>
      </c>
      <c r="E21" s="67">
        <f>E19*I21</f>
        <v>25797.194333706604</v>
      </c>
      <c r="F21" s="67">
        <f>D21</f>
        <v>24314.320985442326</v>
      </c>
      <c r="G21" s="68">
        <f t="shared" si="0"/>
        <v>1482.8733482642783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21852.111265397532</v>
      </c>
      <c r="E22" s="67">
        <f>E19*I22</f>
        <v>23184.820223964165</v>
      </c>
      <c r="F22" s="67">
        <f>D22</f>
        <v>21852.111265397532</v>
      </c>
      <c r="G22" s="68">
        <f t="shared" si="0"/>
        <v>1332.7089585666326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41703.67713325867</v>
      </c>
      <c r="E23" s="67">
        <f>E19*I23</f>
        <v>44247.0864837626</v>
      </c>
      <c r="F23" s="67">
        <f>D23</f>
        <v>41703.67713325867</v>
      </c>
      <c r="G23" s="68">
        <f t="shared" si="0"/>
        <v>2543.4093505039273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8822.69</v>
      </c>
      <c r="F25" s="146">
        <f>D25</f>
        <v>0</v>
      </c>
      <c r="G25" s="147">
        <f t="shared" si="0"/>
        <v>8822.69</v>
      </c>
    </row>
    <row r="26" spans="1:7" s="162" customFormat="1" ht="14.2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6">
        <f t="shared" si="1"/>
        <v>0</v>
      </c>
      <c r="G26" s="147">
        <f t="shared" si="0"/>
        <v>0</v>
      </c>
    </row>
    <row r="27" spans="1:7" s="162" customFormat="1" ht="14.25">
      <c r="A27" s="129" t="s">
        <v>31</v>
      </c>
      <c r="B27" s="151" t="s">
        <v>131</v>
      </c>
      <c r="C27" s="175">
        <v>1.74</v>
      </c>
      <c r="D27" s="147">
        <v>26776.56</v>
      </c>
      <c r="E27" s="147">
        <v>29157.31</v>
      </c>
      <c r="F27" s="146">
        <f>F43</f>
        <v>291.5731</v>
      </c>
      <c r="G27" s="147">
        <f t="shared" si="0"/>
        <v>2380.75</v>
      </c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20.77</v>
      </c>
      <c r="F28" s="146">
        <f>D28</f>
        <v>0</v>
      </c>
      <c r="G28" s="147">
        <f t="shared" si="0"/>
        <v>20.77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620398.04</v>
      </c>
      <c r="E29" s="147">
        <f>SUM(E30:E33)</f>
        <v>669543.23</v>
      </c>
      <c r="F29" s="146">
        <f t="shared" si="1"/>
        <v>620398.04</v>
      </c>
      <c r="G29" s="147">
        <f>SUM(G30:G33)</f>
        <v>49145.18999999999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6322.44</v>
      </c>
      <c r="E30" s="68">
        <v>6823.55</v>
      </c>
      <c r="F30" s="67">
        <f>D30</f>
        <v>6322.44</v>
      </c>
      <c r="G30" s="68">
        <f>E30-D30</f>
        <v>501.1100000000006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151917.59</v>
      </c>
      <c r="E31" s="68">
        <v>166017.38</v>
      </c>
      <c r="F31" s="67">
        <f t="shared" si="1"/>
        <v>151917.59</v>
      </c>
      <c r="G31" s="68">
        <f>E31-D31</f>
        <v>14099.790000000008</v>
      </c>
    </row>
    <row r="32" spans="1:7" ht="15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462158.01</v>
      </c>
      <c r="E33" s="68">
        <v>496702.3</v>
      </c>
      <c r="F33" s="67">
        <f t="shared" si="1"/>
        <v>462158.01</v>
      </c>
      <c r="G33" s="68">
        <f>E33-D33</f>
        <v>34544.28999999998</v>
      </c>
    </row>
    <row r="34" spans="1:10" s="20" customFormat="1" ht="6.7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38">
        <f>D13+D19+D24+D25+D26+D27+D28+D29-E19-E24-E25-E26-E27-E28-E29</f>
        <v>57783.53000000003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15584.92</v>
      </c>
      <c r="H37" s="40"/>
      <c r="I37" s="40"/>
    </row>
    <row r="38" spans="1:13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53090.1169</v>
      </c>
      <c r="H38" s="40"/>
      <c r="I38" s="40"/>
      <c r="M38" s="71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6.2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6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2.75" customHeight="1">
      <c r="A43" s="11" t="s">
        <v>47</v>
      </c>
      <c r="B43" s="287" t="s">
        <v>126</v>
      </c>
      <c r="C43" s="288"/>
      <c r="D43" s="157"/>
      <c r="E43" s="157"/>
      <c r="F43" s="295">
        <f>SUM(F44:L44)</f>
        <v>291.5731</v>
      </c>
      <c r="G43" s="291"/>
    </row>
    <row r="44" spans="1:7" ht="12.75" customHeight="1">
      <c r="A44" s="9" t="s">
        <v>18</v>
      </c>
      <c r="B44" s="271" t="s">
        <v>286</v>
      </c>
      <c r="C44" s="273"/>
      <c r="D44" s="158"/>
      <c r="E44" s="158"/>
      <c r="F44" s="294">
        <f>E27*1%</f>
        <v>291.5731</v>
      </c>
      <c r="G44" s="294"/>
    </row>
    <row r="45" spans="1:7" s="3" customFormat="1" ht="13.5" customHeight="1">
      <c r="A45" s="49"/>
      <c r="B45" s="74"/>
      <c r="C45" s="74"/>
      <c r="D45" s="74"/>
      <c r="E45" s="74"/>
      <c r="F45" s="75"/>
      <c r="G45" s="75"/>
    </row>
    <row r="46" spans="1:6" s="3" customFormat="1" ht="15">
      <c r="A46" s="3" t="s">
        <v>55</v>
      </c>
      <c r="C46" s="3" t="s">
        <v>49</v>
      </c>
      <c r="F46" s="3" t="s">
        <v>102</v>
      </c>
    </row>
    <row r="47" s="3" customFormat="1" ht="15">
      <c r="F47" s="4" t="s">
        <v>303</v>
      </c>
    </row>
    <row r="48" s="3" customFormat="1" ht="15">
      <c r="A48" s="3" t="s">
        <v>50</v>
      </c>
    </row>
    <row r="49" spans="1:7" ht="15">
      <c r="A49" s="3"/>
      <c r="B49" s="3"/>
      <c r="C49" s="14" t="s">
        <v>51</v>
      </c>
      <c r="D49" s="3"/>
      <c r="E49" s="14"/>
      <c r="F49" s="14"/>
      <c r="G49" s="14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</sheetData>
  <sheetProtection/>
  <mergeCells count="16">
    <mergeCell ref="F43:G43"/>
    <mergeCell ref="A13:C13"/>
    <mergeCell ref="B42:C42"/>
    <mergeCell ref="B43:C43"/>
    <mergeCell ref="A35:C35"/>
    <mergeCell ref="F42:G42"/>
    <mergeCell ref="F44:G44"/>
    <mergeCell ref="B44:C44"/>
    <mergeCell ref="A1:I1"/>
    <mergeCell ref="A2:I2"/>
    <mergeCell ref="A5:I5"/>
    <mergeCell ref="A10:I10"/>
    <mergeCell ref="A3:K3"/>
    <mergeCell ref="A11:I11"/>
    <mergeCell ref="A12:I12"/>
    <mergeCell ref="A40:I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28" sqref="F28"/>
    </sheetView>
  </sheetViews>
  <sheetFormatPr defaultColWidth="9.140625" defaultRowHeight="15" outlineLevelCol="1"/>
  <cols>
    <col min="1" max="1" width="4.7109375" style="1" customWidth="1"/>
    <col min="2" max="2" width="40.28125" style="1" customWidth="1"/>
    <col min="3" max="3" width="13.00390625" style="1" customWidth="1"/>
    <col min="4" max="4" width="13.421875" style="1" customWidth="1"/>
    <col min="5" max="5" width="12.7109375" style="1" customWidth="1"/>
    <col min="6" max="6" width="12.42187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2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7.5" customHeight="1"/>
    <row r="7" spans="1:6" s="3" customFormat="1" ht="16.5" customHeight="1">
      <c r="A7" s="3" t="s">
        <v>2</v>
      </c>
      <c r="F7" s="4" t="s">
        <v>72</v>
      </c>
    </row>
    <row r="8" spans="1:6" s="3" customFormat="1" ht="15">
      <c r="A8" s="3" t="s">
        <v>3</v>
      </c>
      <c r="F8" s="4" t="s">
        <v>181</v>
      </c>
    </row>
    <row r="9" s="3" customFormat="1" ht="9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118351.56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-64936.87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19983.81</v>
      </c>
      <c r="H16" s="40"/>
      <c r="I16" s="40"/>
    </row>
    <row r="17" s="3" customFormat="1" ht="9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29.25">
      <c r="A19" s="163" t="s">
        <v>14</v>
      </c>
      <c r="B19" s="129" t="s">
        <v>15</v>
      </c>
      <c r="C19" s="145">
        <f>C20+C21+C22+C23</f>
        <v>8.93</v>
      </c>
      <c r="D19" s="146">
        <v>183500.92</v>
      </c>
      <c r="E19" s="146">
        <v>189331.69</v>
      </c>
      <c r="F19" s="146">
        <f>D19</f>
        <v>183500.92</v>
      </c>
      <c r="G19" s="147">
        <f aca="true" t="shared" si="0" ref="G19:G28">E19-D19</f>
        <v>5830.7699999999895</v>
      </c>
      <c r="H19" s="117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66167.18503919373</v>
      </c>
      <c r="E20" s="67">
        <f>E19*I20</f>
        <v>68269.65753639418</v>
      </c>
      <c r="F20" s="67">
        <f>D20</f>
        <v>66167.18503919373</v>
      </c>
      <c r="G20" s="68">
        <f t="shared" si="0"/>
        <v>2102.472497200448</v>
      </c>
      <c r="H20" s="117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32467.128062709966</v>
      </c>
      <c r="E21" s="67">
        <f>E19*I21</f>
        <v>33498.77605823068</v>
      </c>
      <c r="F21" s="67">
        <f>D21</f>
        <v>32467.128062709966</v>
      </c>
      <c r="G21" s="68">
        <f t="shared" si="0"/>
        <v>1031.6479955207142</v>
      </c>
      <c r="H21" s="117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29179.317625979842</v>
      </c>
      <c r="E22" s="67">
        <f>E19*I22</f>
        <v>30106.49493840985</v>
      </c>
      <c r="F22" s="67">
        <f>D22</f>
        <v>29179.317625979842</v>
      </c>
      <c r="G22" s="68">
        <f t="shared" si="0"/>
        <v>927.1773124300089</v>
      </c>
      <c r="H22" s="117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55687.28927211647</v>
      </c>
      <c r="E23" s="67">
        <f>E19*I23</f>
        <v>57456.76146696529</v>
      </c>
      <c r="F23" s="67">
        <f>D23</f>
        <v>55687.28927211647</v>
      </c>
      <c r="G23" s="68">
        <f t="shared" si="0"/>
        <v>1769.4721948488223</v>
      </c>
      <c r="H23" s="117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8057.09</v>
      </c>
      <c r="F25" s="146">
        <f>D25</f>
        <v>0</v>
      </c>
      <c r="G25" s="147">
        <f t="shared" si="0"/>
        <v>8057.09</v>
      </c>
    </row>
    <row r="26" spans="1:7" s="162" customFormat="1" ht="14.25">
      <c r="A26" s="129" t="s">
        <v>29</v>
      </c>
      <c r="B26" s="151" t="s">
        <v>230</v>
      </c>
      <c r="C26" s="152">
        <v>1832.48</v>
      </c>
      <c r="D26" s="147">
        <v>13268.04</v>
      </c>
      <c r="E26" s="147">
        <v>13370.25</v>
      </c>
      <c r="F26" s="146">
        <f t="shared" si="1"/>
        <v>13268.04</v>
      </c>
      <c r="G26" s="147">
        <f t="shared" si="0"/>
        <v>102.20999999999913</v>
      </c>
    </row>
    <row r="27" spans="1:7" s="162" customFormat="1" ht="14.25">
      <c r="A27" s="129" t="s">
        <v>31</v>
      </c>
      <c r="B27" s="151" t="s">
        <v>131</v>
      </c>
      <c r="C27" s="175">
        <v>1.74</v>
      </c>
      <c r="D27" s="147">
        <v>35755.24</v>
      </c>
      <c r="E27" s="147">
        <v>36954.35</v>
      </c>
      <c r="F27" s="146">
        <f>F43</f>
        <v>369.5435</v>
      </c>
      <c r="G27" s="147">
        <f t="shared" si="0"/>
        <v>1199.1100000000006</v>
      </c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28.17</v>
      </c>
      <c r="F28" s="146">
        <f>D28</f>
        <v>0</v>
      </c>
      <c r="G28" s="147">
        <f t="shared" si="0"/>
        <v>28.17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636624.4199999999</v>
      </c>
      <c r="E29" s="147">
        <f>SUM(E30:E33)</f>
        <v>675692.76</v>
      </c>
      <c r="F29" s="146">
        <f t="shared" si="1"/>
        <v>636624.4199999999</v>
      </c>
      <c r="G29" s="147">
        <f>SUM(G30:G33)</f>
        <v>39068.34000000002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19878.24</v>
      </c>
      <c r="E30" s="68">
        <v>20157.31</v>
      </c>
      <c r="F30" s="67">
        <f>D30</f>
        <v>19878.24</v>
      </c>
      <c r="G30" s="68">
        <f>E30-D30</f>
        <v>279.0699999999997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191472.38</v>
      </c>
      <c r="E31" s="68">
        <v>198983.49</v>
      </c>
      <c r="F31" s="67">
        <f t="shared" si="1"/>
        <v>191472.38</v>
      </c>
      <c r="G31" s="68">
        <f>E31-D31</f>
        <v>7511.109999999986</v>
      </c>
    </row>
    <row r="32" spans="1:7" ht="15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425273.8</v>
      </c>
      <c r="E33" s="68">
        <v>456551.96</v>
      </c>
      <c r="F33" s="67">
        <f t="shared" si="1"/>
        <v>425273.8</v>
      </c>
      <c r="G33" s="68">
        <f>E33-D33</f>
        <v>31278.160000000033</v>
      </c>
    </row>
    <row r="34" spans="1:10" s="20" customFormat="1" ht="7.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64065.869999999995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-64908.700000000004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56568.616500000004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5.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5.25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2" customHeight="1">
      <c r="A43" s="11" t="s">
        <v>47</v>
      </c>
      <c r="B43" s="287" t="s">
        <v>126</v>
      </c>
      <c r="C43" s="288"/>
      <c r="D43" s="157"/>
      <c r="E43" s="157"/>
      <c r="F43" s="295">
        <f>SUM(F44:G44)</f>
        <v>369.5435</v>
      </c>
      <c r="G43" s="291"/>
    </row>
    <row r="44" spans="1:7" ht="14.25" customHeight="1">
      <c r="A44" s="9" t="s">
        <v>16</v>
      </c>
      <c r="B44" s="271" t="s">
        <v>286</v>
      </c>
      <c r="C44" s="273"/>
      <c r="D44" s="158"/>
      <c r="E44" s="158"/>
      <c r="F44" s="314">
        <f>E27*1%</f>
        <v>369.5435</v>
      </c>
      <c r="G44" s="315"/>
    </row>
    <row r="45" spans="2:5" ht="15">
      <c r="B45" s="13"/>
      <c r="C45" s="13"/>
      <c r="D45" s="13"/>
      <c r="E45" s="13"/>
    </row>
    <row r="46" spans="1:6" s="3" customFormat="1" ht="15">
      <c r="A46" s="3" t="s">
        <v>55</v>
      </c>
      <c r="C46" s="3" t="s">
        <v>49</v>
      </c>
      <c r="F46" s="3" t="s">
        <v>102</v>
      </c>
    </row>
    <row r="47" s="3" customFormat="1" ht="13.5" customHeight="1">
      <c r="F47" s="4" t="s">
        <v>303</v>
      </c>
    </row>
    <row r="48" s="3" customFormat="1" ht="15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16">
    <mergeCell ref="A1:I1"/>
    <mergeCell ref="A2:I2"/>
    <mergeCell ref="A5:I5"/>
    <mergeCell ref="A10:I10"/>
    <mergeCell ref="A3:K3"/>
    <mergeCell ref="A35:C35"/>
    <mergeCell ref="F42:G42"/>
    <mergeCell ref="F44:G44"/>
    <mergeCell ref="B44:C44"/>
    <mergeCell ref="B42:C42"/>
    <mergeCell ref="B43:C43"/>
    <mergeCell ref="A11:I11"/>
    <mergeCell ref="A40:I40"/>
    <mergeCell ref="A13:C13"/>
    <mergeCell ref="A12:I12"/>
    <mergeCell ref="F43:G43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0.57421875" style="1" customWidth="1"/>
    <col min="3" max="3" width="13.28125" style="1" customWidth="1"/>
    <col min="4" max="5" width="13.140625" style="1" bestFit="1" customWidth="1"/>
    <col min="6" max="6" width="14.00390625" style="1" customWidth="1"/>
    <col min="7" max="7" width="13.57421875" style="1" customWidth="1"/>
    <col min="8" max="8" width="10.8515625" style="1" hidden="1" customWidth="1" outlineLevel="1"/>
    <col min="9" max="9" width="13.28125" style="1" hidden="1" customWidth="1" outlineLevel="1"/>
    <col min="10" max="12" width="9.140625" style="1" hidden="1" customWidth="1" outlineLevel="1"/>
    <col min="13" max="13" width="10.1406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" customHeight="1"/>
    <row r="7" spans="1:6" s="3" customFormat="1" ht="16.5" customHeight="1">
      <c r="A7" s="3" t="s">
        <v>2</v>
      </c>
      <c r="F7" s="4" t="s">
        <v>140</v>
      </c>
    </row>
    <row r="8" spans="1:6" s="3" customFormat="1" ht="15">
      <c r="A8" s="3" t="s">
        <v>3</v>
      </c>
      <c r="F8" s="4" t="s">
        <v>182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350176.44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-5989.23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-440979.33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28.5">
      <c r="A19" s="163" t="s">
        <v>14</v>
      </c>
      <c r="B19" s="129" t="s">
        <v>15</v>
      </c>
      <c r="C19" s="145">
        <f>C20+C21+C22+C23</f>
        <v>8.93</v>
      </c>
      <c r="D19" s="146">
        <v>365394.24</v>
      </c>
      <c r="E19" s="146">
        <v>366298.54</v>
      </c>
      <c r="F19" s="146">
        <f>D19</f>
        <v>365394.24</v>
      </c>
      <c r="G19" s="147">
        <f aca="true" t="shared" si="0" ref="G19:G28">E19-D19</f>
        <v>904.2999999999884</v>
      </c>
      <c r="H19" s="164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131754.6979619261</v>
      </c>
      <c r="E20" s="67">
        <f>E19*I20</f>
        <v>132080.7725419933</v>
      </c>
      <c r="F20" s="67">
        <f>D20</f>
        <v>131754.6979619261</v>
      </c>
      <c r="G20" s="68">
        <f t="shared" si="0"/>
        <v>326.0745800671866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64649.82073908174</v>
      </c>
      <c r="E21" s="67">
        <f>E19*I21</f>
        <v>64809.82006718924</v>
      </c>
      <c r="F21" s="67">
        <f>D21</f>
        <v>64649.82073908174</v>
      </c>
      <c r="G21" s="68">
        <f t="shared" si="0"/>
        <v>159.99932810750033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58103.00344904815</v>
      </c>
      <c r="E22" s="67">
        <f>E19*I22</f>
        <v>58246.80031354982</v>
      </c>
      <c r="F22" s="67">
        <f>D22</f>
        <v>58103.00344904815</v>
      </c>
      <c r="G22" s="68">
        <f t="shared" si="0"/>
        <v>143.79686450167355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110886.717849944</v>
      </c>
      <c r="E23" s="67">
        <f>E19*I23</f>
        <v>111161.14707726763</v>
      </c>
      <c r="F23" s="67">
        <f>D23</f>
        <v>110886.717849944</v>
      </c>
      <c r="G23" s="68">
        <f t="shared" si="0"/>
        <v>274.4292273236206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2736.62</v>
      </c>
      <c r="F25" s="146">
        <f>D25</f>
        <v>0</v>
      </c>
      <c r="G25" s="147">
        <f t="shared" si="0"/>
        <v>2736.62</v>
      </c>
    </row>
    <row r="26" spans="1:7" s="162" customFormat="1" ht="14.25">
      <c r="A26" s="129" t="s">
        <v>29</v>
      </c>
      <c r="B26" s="151" t="s">
        <v>230</v>
      </c>
      <c r="C26" s="152">
        <v>1832.48</v>
      </c>
      <c r="D26" s="147">
        <v>12992.8</v>
      </c>
      <c r="E26" s="147">
        <v>13059.16</v>
      </c>
      <c r="F26" s="146">
        <f t="shared" si="1"/>
        <v>12992.8</v>
      </c>
      <c r="G26" s="147">
        <f t="shared" si="0"/>
        <v>66.36000000000058</v>
      </c>
    </row>
    <row r="27" spans="1:13" s="162" customFormat="1" ht="14.25">
      <c r="A27" s="129" t="s">
        <v>31</v>
      </c>
      <c r="B27" s="151" t="s">
        <v>131</v>
      </c>
      <c r="C27" s="175">
        <v>1.74</v>
      </c>
      <c r="D27" s="147">
        <v>71196</v>
      </c>
      <c r="E27" s="147">
        <v>71500.15</v>
      </c>
      <c r="F27" s="146">
        <f>F43</f>
        <v>16442.8415</v>
      </c>
      <c r="G27" s="147">
        <f t="shared" si="0"/>
        <v>304.1499999999942</v>
      </c>
      <c r="M27" s="193"/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0.01</v>
      </c>
      <c r="F28" s="146">
        <f>D28</f>
        <v>0</v>
      </c>
      <c r="G28" s="147">
        <f t="shared" si="0"/>
        <v>0.01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1381669.34</v>
      </c>
      <c r="E29" s="147">
        <f>SUM(E30:E33)</f>
        <v>1418881.82</v>
      </c>
      <c r="F29" s="146">
        <f t="shared" si="1"/>
        <v>1381669.34</v>
      </c>
      <c r="G29" s="147">
        <f>SUM(G30:G33)</f>
        <v>37212.47999999996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27711.48</v>
      </c>
      <c r="E30" s="68">
        <v>27978.69</v>
      </c>
      <c r="F30" s="67">
        <f>D30</f>
        <v>27711.48</v>
      </c>
      <c r="G30" s="68">
        <f>E30-D30</f>
        <v>267.2099999999991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466107.32</v>
      </c>
      <c r="E31" s="68">
        <v>489977.01</v>
      </c>
      <c r="F31" s="67">
        <f t="shared" si="1"/>
        <v>466107.32</v>
      </c>
      <c r="G31" s="68">
        <f>E31-D31</f>
        <v>23869.690000000002</v>
      </c>
    </row>
    <row r="32" spans="1:7" ht="15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887850.54</v>
      </c>
      <c r="E33" s="68">
        <v>900926.12</v>
      </c>
      <c r="F33" s="67">
        <f t="shared" si="1"/>
        <v>887850.54</v>
      </c>
      <c r="G33" s="68">
        <f>E33-D33</f>
        <v>13075.579999999958</v>
      </c>
    </row>
    <row r="34" spans="1:10" s="20" customFormat="1" ht="6.7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D19+D24+D25+D26+D27+D28+D29+D13-E24-E25-E26-E27-E28-E29-E19</f>
        <v>308952.5200000001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-5989.219999999999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-385922.02150000003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8.5" customHeight="1">
      <c r="A40" s="316" t="s">
        <v>44</v>
      </c>
      <c r="B40" s="316"/>
      <c r="C40" s="316"/>
      <c r="D40" s="316"/>
      <c r="E40" s="316"/>
      <c r="F40" s="316"/>
      <c r="G40" s="316"/>
      <c r="H40" s="316"/>
      <c r="I40" s="316"/>
    </row>
    <row r="41" ht="5.25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</row>
    <row r="43" spans="1:7" s="12" customFormat="1" ht="12.75" customHeight="1">
      <c r="A43" s="11" t="s">
        <v>47</v>
      </c>
      <c r="B43" s="287" t="s">
        <v>126</v>
      </c>
      <c r="C43" s="288"/>
      <c r="D43" s="157"/>
      <c r="E43" s="157"/>
      <c r="F43" s="295">
        <f>SUM(F44:G46)</f>
        <v>16442.8415</v>
      </c>
      <c r="G43" s="291"/>
    </row>
    <row r="44" spans="1:7" ht="12.75" customHeight="1">
      <c r="A44" s="9" t="s">
        <v>16</v>
      </c>
      <c r="B44" s="271" t="s">
        <v>291</v>
      </c>
      <c r="C44" s="273"/>
      <c r="D44" s="158" t="s">
        <v>412</v>
      </c>
      <c r="E44" s="192">
        <v>0.935</v>
      </c>
      <c r="F44" s="308">
        <v>15171.17</v>
      </c>
      <c r="G44" s="309"/>
    </row>
    <row r="45" spans="1:7" ht="12.75" customHeight="1">
      <c r="A45" s="9" t="s">
        <v>18</v>
      </c>
      <c r="B45" s="271" t="s">
        <v>462</v>
      </c>
      <c r="C45" s="273"/>
      <c r="D45" s="158" t="s">
        <v>463</v>
      </c>
      <c r="E45" s="158">
        <v>1</v>
      </c>
      <c r="F45" s="294">
        <v>556.67</v>
      </c>
      <c r="G45" s="294"/>
    </row>
    <row r="46" spans="1:7" s="48" customFormat="1" ht="13.5" customHeight="1">
      <c r="A46" s="9" t="s">
        <v>20</v>
      </c>
      <c r="B46" s="306" t="s">
        <v>286</v>
      </c>
      <c r="C46" s="307"/>
      <c r="D46" s="178"/>
      <c r="E46" s="178"/>
      <c r="F46" s="310">
        <f>E27*1%</f>
        <v>715.0015</v>
      </c>
      <c r="G46" s="311"/>
    </row>
    <row r="47" spans="1:7" s="48" customFormat="1" ht="13.5" customHeight="1">
      <c r="A47" s="49"/>
      <c r="B47" s="51"/>
      <c r="C47" s="51"/>
      <c r="D47" s="51"/>
      <c r="E47" s="51"/>
      <c r="F47" s="52"/>
      <c r="G47" s="52"/>
    </row>
    <row r="48" s="3" customFormat="1" ht="15"/>
    <row r="49" spans="1:6" s="3" customFormat="1" ht="15" customHeight="1">
      <c r="A49" s="3" t="s">
        <v>55</v>
      </c>
      <c r="C49" s="3" t="s">
        <v>49</v>
      </c>
      <c r="F49" s="3" t="s">
        <v>102</v>
      </c>
    </row>
    <row r="50" s="3" customFormat="1" ht="13.5" customHeight="1">
      <c r="F50" s="4" t="s">
        <v>303</v>
      </c>
    </row>
    <row r="51" s="3" customFormat="1" ht="15">
      <c r="A51" s="3" t="s">
        <v>50</v>
      </c>
    </row>
    <row r="52" spans="3:7" s="3" customFormat="1" ht="11.25" customHeight="1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0">
    <mergeCell ref="F44:G44"/>
    <mergeCell ref="F46:G46"/>
    <mergeCell ref="B46:C46"/>
    <mergeCell ref="F45:G45"/>
    <mergeCell ref="A13:C13"/>
    <mergeCell ref="A1:I1"/>
    <mergeCell ref="A2:I2"/>
    <mergeCell ref="A5:I5"/>
    <mergeCell ref="A10:I10"/>
    <mergeCell ref="A3:K3"/>
    <mergeCell ref="B44:C44"/>
    <mergeCell ref="B45:C45"/>
    <mergeCell ref="F43:G43"/>
    <mergeCell ref="A40:I40"/>
    <mergeCell ref="A11:I11"/>
    <mergeCell ref="A12:I12"/>
    <mergeCell ref="A35:C35"/>
    <mergeCell ref="F42:G42"/>
    <mergeCell ref="B42:C42"/>
    <mergeCell ref="B43:C43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B51" sqref="B51"/>
    </sheetView>
  </sheetViews>
  <sheetFormatPr defaultColWidth="9.140625" defaultRowHeight="15" outlineLevelCol="1"/>
  <cols>
    <col min="1" max="1" width="4.7109375" style="1" customWidth="1"/>
    <col min="2" max="2" width="45.57421875" style="1" customWidth="1"/>
    <col min="3" max="3" width="12.8515625" style="1" customWidth="1"/>
    <col min="4" max="4" width="13.140625" style="1" bestFit="1" customWidth="1"/>
    <col min="5" max="5" width="12.7109375" style="1" customWidth="1"/>
    <col min="6" max="6" width="15.281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4" width="9.7109375" style="1" bestFit="1" customWidth="1"/>
    <col min="15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4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73</v>
      </c>
    </row>
    <row r="8" spans="1:6" s="3" customFormat="1" ht="15">
      <c r="A8" s="3" t="s">
        <v>3</v>
      </c>
      <c r="F8" s="4" t="s">
        <v>183</v>
      </c>
    </row>
    <row r="9" s="3" customFormat="1" ht="6.7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308</v>
      </c>
      <c r="B13" s="266"/>
      <c r="C13" s="266"/>
      <c r="D13" s="38">
        <v>427045.28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-43532.81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-82417.09</v>
      </c>
      <c r="H16" s="40"/>
      <c r="I16" s="40"/>
    </row>
    <row r="17" s="3" customFormat="1" ht="7.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480215.4</v>
      </c>
      <c r="E19" s="146">
        <f>2339.15+521734.19</f>
        <v>524073.34</v>
      </c>
      <c r="F19" s="146">
        <f>D19</f>
        <v>480215.4</v>
      </c>
      <c r="G19" s="147">
        <f aca="true" t="shared" si="0" ref="G19:G28">E19-D19</f>
        <v>43857.94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173157.1767077268</v>
      </c>
      <c r="E20" s="67">
        <f>E19*I20</f>
        <v>188971.5738857783</v>
      </c>
      <c r="F20" s="67">
        <f>D20</f>
        <v>173157.1767077268</v>
      </c>
      <c r="G20" s="68">
        <f t="shared" si="0"/>
        <v>15814.397178051528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84965.32273236282</v>
      </c>
      <c r="E21" s="67">
        <f>E19*I21</f>
        <v>92725.18221724524</v>
      </c>
      <c r="F21" s="67">
        <f>D21</f>
        <v>84965.32273236282</v>
      </c>
      <c r="G21" s="68">
        <f t="shared" si="0"/>
        <v>7759.859484882414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76361.23941769317</v>
      </c>
      <c r="E22" s="67">
        <f>E19*I22</f>
        <v>83335.29034714446</v>
      </c>
      <c r="F22" s="67">
        <f>D22</f>
        <v>76361.23941769317</v>
      </c>
      <c r="G22" s="68">
        <f t="shared" si="0"/>
        <v>6974.0509294512885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145731.66114221726</v>
      </c>
      <c r="E23" s="67">
        <f>E19*I23</f>
        <v>159041.29354983204</v>
      </c>
      <c r="F23" s="67">
        <f>D23</f>
        <v>145731.66114221726</v>
      </c>
      <c r="G23" s="68">
        <f t="shared" si="0"/>
        <v>13309.632407614787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7">
        <v>0</v>
      </c>
      <c r="G24" s="147">
        <f t="shared" si="0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30463.27</v>
      </c>
      <c r="F25" s="147">
        <f>D25</f>
        <v>0</v>
      </c>
      <c r="G25" s="147">
        <f t="shared" si="0"/>
        <v>30463.27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13196.48</v>
      </c>
      <c r="E26" s="147">
        <v>13330.07</v>
      </c>
      <c r="F26" s="147">
        <f>D26</f>
        <v>13196.48</v>
      </c>
      <c r="G26" s="147">
        <f t="shared" si="0"/>
        <v>133.59000000000015</v>
      </c>
    </row>
    <row r="27" spans="1:14" ht="15">
      <c r="A27" s="129" t="s">
        <v>31</v>
      </c>
      <c r="B27" s="151" t="s">
        <v>131</v>
      </c>
      <c r="C27" s="175">
        <v>1.74</v>
      </c>
      <c r="D27" s="147">
        <v>93569.4</v>
      </c>
      <c r="E27" s="147">
        <v>106221.96</v>
      </c>
      <c r="F27" s="153">
        <f>F42</f>
        <v>67373.4896</v>
      </c>
      <c r="G27" s="147">
        <f t="shared" si="0"/>
        <v>12652.560000000012</v>
      </c>
      <c r="M27" s="77"/>
      <c r="N27" s="77"/>
    </row>
    <row r="28" spans="1:7" ht="15">
      <c r="A28" s="129" t="s">
        <v>33</v>
      </c>
      <c r="B28" s="36" t="s">
        <v>34</v>
      </c>
      <c r="C28" s="176">
        <v>0</v>
      </c>
      <c r="D28" s="147">
        <v>0</v>
      </c>
      <c r="E28" s="147">
        <v>4271.27</v>
      </c>
      <c r="F28" s="153">
        <v>0</v>
      </c>
      <c r="G28" s="147">
        <f t="shared" si="0"/>
        <v>4271.27</v>
      </c>
    </row>
    <row r="29" spans="1:7" ht="15">
      <c r="A29" s="129" t="s">
        <v>35</v>
      </c>
      <c r="B29" s="36" t="s">
        <v>36</v>
      </c>
      <c r="C29" s="175"/>
      <c r="D29" s="147">
        <f>SUM(D30:D33)</f>
        <v>1833884.85</v>
      </c>
      <c r="E29" s="147">
        <f>SUM(E30:E33)</f>
        <v>1900452.02</v>
      </c>
      <c r="F29" s="147">
        <f>SUM(F30:F33)</f>
        <v>1833884.85</v>
      </c>
      <c r="G29" s="147">
        <f>SUM(G30:G33)</f>
        <v>66567.16999999995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31123.37</v>
      </c>
      <c r="E30" s="68">
        <v>33157.22</v>
      </c>
      <c r="F30" s="68">
        <f>D30</f>
        <v>31123.37</v>
      </c>
      <c r="G30" s="68">
        <f>E30-D30</f>
        <v>2033.8500000000022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655559.98</v>
      </c>
      <c r="E31" s="68">
        <v>665657.84</v>
      </c>
      <c r="F31" s="68">
        <f>D31</f>
        <v>655559.98</v>
      </c>
      <c r="G31" s="68">
        <f>E31-D31</f>
        <v>10097.859999999986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s="20" customFormat="1" ht="15.75" thickBot="1">
      <c r="A33" s="9" t="s">
        <v>41</v>
      </c>
      <c r="B33" s="9" t="s">
        <v>43</v>
      </c>
      <c r="C33" s="134" t="s">
        <v>316</v>
      </c>
      <c r="D33" s="68">
        <v>1147201.5</v>
      </c>
      <c r="E33" s="68">
        <v>1201636.96</v>
      </c>
      <c r="F33" s="68">
        <f>D33</f>
        <v>1147201.5</v>
      </c>
      <c r="G33" s="68">
        <f>E33-D33</f>
        <v>54435.45999999996</v>
      </c>
      <c r="H33" s="22"/>
      <c r="I33" s="22"/>
      <c r="J33" s="22"/>
    </row>
    <row r="34" spans="1:9" s="15" customFormat="1" ht="15.75" thickBot="1">
      <c r="A34" s="265" t="s">
        <v>299</v>
      </c>
      <c r="B34" s="266"/>
      <c r="C34" s="266"/>
      <c r="D34" s="73">
        <f>D13+D19+D24+D25+D26+D27+D28+D29-E19-E24-E25-E26-E27-E28-E29</f>
        <v>269099.48000000045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-39261.53999999999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-43568.61959999999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ht="25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4.5" customHeight="1"/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2.75" customHeight="1">
      <c r="A42" s="11" t="s">
        <v>47</v>
      </c>
      <c r="B42" s="287" t="s">
        <v>126</v>
      </c>
      <c r="C42" s="288"/>
      <c r="D42" s="157"/>
      <c r="E42" s="157"/>
      <c r="F42" s="295">
        <f>SUM(F43:L51)</f>
        <v>67373.4896</v>
      </c>
      <c r="G42" s="291"/>
    </row>
    <row r="43" spans="1:7" ht="12.75" customHeight="1">
      <c r="A43" s="9" t="s">
        <v>16</v>
      </c>
      <c r="B43" s="271" t="s">
        <v>466</v>
      </c>
      <c r="C43" s="273"/>
      <c r="D43" s="158" t="s">
        <v>234</v>
      </c>
      <c r="E43" s="158">
        <v>3</v>
      </c>
      <c r="F43" s="308">
        <v>4653.6</v>
      </c>
      <c r="G43" s="309"/>
    </row>
    <row r="44" spans="1:7" ht="12.75" customHeight="1">
      <c r="A44" s="9" t="s">
        <v>18</v>
      </c>
      <c r="B44" s="271" t="s">
        <v>430</v>
      </c>
      <c r="C44" s="273"/>
      <c r="D44" s="158" t="s">
        <v>234</v>
      </c>
      <c r="E44" s="158"/>
      <c r="F44" s="294">
        <v>2128.8</v>
      </c>
      <c r="G44" s="294"/>
    </row>
    <row r="45" spans="1:7" ht="12.75" customHeight="1">
      <c r="A45" s="9" t="s">
        <v>20</v>
      </c>
      <c r="B45" s="271" t="s">
        <v>245</v>
      </c>
      <c r="C45" s="273"/>
      <c r="D45" s="158" t="s">
        <v>463</v>
      </c>
      <c r="E45" s="158">
        <v>1</v>
      </c>
      <c r="F45" s="308">
        <v>556.67</v>
      </c>
      <c r="G45" s="309"/>
    </row>
    <row r="46" spans="1:7" ht="12.75" customHeight="1">
      <c r="A46" s="9" t="s">
        <v>22</v>
      </c>
      <c r="B46" s="271" t="s">
        <v>467</v>
      </c>
      <c r="C46" s="273"/>
      <c r="D46" s="158" t="s">
        <v>234</v>
      </c>
      <c r="E46" s="158">
        <v>1</v>
      </c>
      <c r="F46" s="308">
        <v>1493</v>
      </c>
      <c r="G46" s="309"/>
    </row>
    <row r="47" spans="1:7" ht="12.75" customHeight="1">
      <c r="A47" s="9" t="s">
        <v>24</v>
      </c>
      <c r="B47" s="271" t="s">
        <v>468</v>
      </c>
      <c r="C47" s="273"/>
      <c r="D47" s="158" t="s">
        <v>234</v>
      </c>
      <c r="E47" s="158">
        <v>0.2</v>
      </c>
      <c r="F47" s="308">
        <v>15167.2</v>
      </c>
      <c r="G47" s="309"/>
    </row>
    <row r="48" spans="1:7" ht="12.75" customHeight="1">
      <c r="A48" s="9" t="s">
        <v>116</v>
      </c>
      <c r="B48" s="271" t="s">
        <v>469</v>
      </c>
      <c r="C48" s="273"/>
      <c r="D48" s="158" t="s">
        <v>239</v>
      </c>
      <c r="E48" s="158">
        <v>600</v>
      </c>
      <c r="F48" s="308">
        <v>6156</v>
      </c>
      <c r="G48" s="309"/>
    </row>
    <row r="49" spans="1:7" ht="12.75" customHeight="1">
      <c r="A49" s="9" t="s">
        <v>117</v>
      </c>
      <c r="B49" s="271" t="s">
        <v>469</v>
      </c>
      <c r="C49" s="273"/>
      <c r="D49" s="158" t="s">
        <v>239</v>
      </c>
      <c r="E49" s="158">
        <v>600</v>
      </c>
      <c r="F49" s="308">
        <v>6156</v>
      </c>
      <c r="G49" s="309"/>
    </row>
    <row r="50" spans="1:7" ht="12.75" customHeight="1">
      <c r="A50" s="9" t="s">
        <v>132</v>
      </c>
      <c r="B50" s="213" t="s">
        <v>717</v>
      </c>
      <c r="C50" s="214"/>
      <c r="D50" s="158"/>
      <c r="E50" s="158"/>
      <c r="F50" s="308">
        <v>30000</v>
      </c>
      <c r="G50" s="309"/>
    </row>
    <row r="51" spans="1:7" ht="15">
      <c r="A51" s="9" t="s">
        <v>133</v>
      </c>
      <c r="B51" s="131" t="s">
        <v>286</v>
      </c>
      <c r="C51" s="132"/>
      <c r="D51" s="158"/>
      <c r="E51" s="158"/>
      <c r="F51" s="294">
        <f>E27*1%</f>
        <v>1062.2196000000001</v>
      </c>
      <c r="G51" s="294"/>
    </row>
    <row r="52" s="3" customFormat="1" ht="13.5" customHeight="1"/>
    <row r="53" spans="1:6" s="3" customFormat="1" ht="15">
      <c r="A53" s="3" t="s">
        <v>55</v>
      </c>
      <c r="C53" s="3" t="s">
        <v>49</v>
      </c>
      <c r="F53" s="3" t="s">
        <v>102</v>
      </c>
    </row>
    <row r="54" s="3" customFormat="1" ht="12" customHeight="1">
      <c r="F54" s="4" t="s">
        <v>303</v>
      </c>
    </row>
    <row r="55" s="3" customFormat="1" ht="15">
      <c r="A55" s="3" t="s">
        <v>50</v>
      </c>
    </row>
    <row r="56" spans="3:7" s="3" customFormat="1" ht="15">
      <c r="C56" s="14" t="s">
        <v>51</v>
      </c>
      <c r="E56" s="14"/>
      <c r="F56" s="14"/>
      <c r="G56" s="14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</sheetData>
  <sheetProtection/>
  <mergeCells count="30">
    <mergeCell ref="B49:C49"/>
    <mergeCell ref="F49:G49"/>
    <mergeCell ref="B46:C46"/>
    <mergeCell ref="B47:C47"/>
    <mergeCell ref="A39:I39"/>
    <mergeCell ref="B41:C41"/>
    <mergeCell ref="B42:C42"/>
    <mergeCell ref="B43:C43"/>
    <mergeCell ref="B44:C44"/>
    <mergeCell ref="B48:C48"/>
    <mergeCell ref="F48:G48"/>
    <mergeCell ref="F51:G51"/>
    <mergeCell ref="F43:G43"/>
    <mergeCell ref="F41:G41"/>
    <mergeCell ref="F46:G46"/>
    <mergeCell ref="F47:G47"/>
    <mergeCell ref="F42:G42"/>
    <mergeCell ref="F45:G45"/>
    <mergeCell ref="F44:G44"/>
    <mergeCell ref="F50:G50"/>
    <mergeCell ref="B45:C45"/>
    <mergeCell ref="A11:I11"/>
    <mergeCell ref="A1:I1"/>
    <mergeCell ref="A2:I2"/>
    <mergeCell ref="A5:I5"/>
    <mergeCell ref="A10:I10"/>
    <mergeCell ref="A3:K3"/>
    <mergeCell ref="A12:I12"/>
    <mergeCell ref="A13:C13"/>
    <mergeCell ref="A34:C34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D13" sqref="D13"/>
    </sheetView>
  </sheetViews>
  <sheetFormatPr defaultColWidth="9.140625" defaultRowHeight="15" outlineLevelCol="1"/>
  <cols>
    <col min="1" max="1" width="4.7109375" style="1" customWidth="1"/>
    <col min="2" max="2" width="47.28125" style="1" customWidth="1"/>
    <col min="3" max="3" width="12.8515625" style="1" customWidth="1"/>
    <col min="4" max="4" width="13.57421875" style="1" customWidth="1"/>
    <col min="5" max="5" width="15.57421875" style="1" customWidth="1"/>
    <col min="6" max="6" width="14.57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.75" customHeight="1"/>
    <row r="7" spans="1:6" s="3" customFormat="1" ht="16.5" customHeight="1">
      <c r="A7" s="3" t="s">
        <v>2</v>
      </c>
      <c r="F7" s="4" t="s">
        <v>74</v>
      </c>
    </row>
    <row r="8" spans="1:6" s="3" customFormat="1" ht="15">
      <c r="A8" s="3" t="s">
        <v>3</v>
      </c>
      <c r="F8" s="4" t="s">
        <v>75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318400.51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99543.7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210962.77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334446.48</v>
      </c>
      <c r="E19" s="146">
        <v>315506.69</v>
      </c>
      <c r="F19" s="146">
        <f>D19</f>
        <v>334446.48</v>
      </c>
      <c r="G19" s="147">
        <f>E19-D19</f>
        <v>-18939.78999999998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120595.48326987683</v>
      </c>
      <c r="E20" s="67">
        <f>E19*I20</f>
        <v>113766.13010078389</v>
      </c>
      <c r="F20" s="67">
        <f>D20</f>
        <v>120595.48326987683</v>
      </c>
      <c r="G20" s="68">
        <f aca="true" t="shared" si="0" ref="G20:G28">E20-D20</f>
        <v>-6829.353169092938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59174.181231802904</v>
      </c>
      <c r="E21" s="67">
        <f>E19*I21</f>
        <v>55823.132161254194</v>
      </c>
      <c r="F21" s="67">
        <f>D21</f>
        <v>59174.181231802904</v>
      </c>
      <c r="G21" s="68">
        <f t="shared" si="0"/>
        <v>-3351.04907054871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53181.859081746916</v>
      </c>
      <c r="E22" s="67">
        <f>E19*I22</f>
        <v>50170.15675251959</v>
      </c>
      <c r="F22" s="67">
        <f>D22</f>
        <v>53181.859081746916</v>
      </c>
      <c r="G22" s="68">
        <f t="shared" si="0"/>
        <v>-3011.7023292273225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101494.95641657335</v>
      </c>
      <c r="E23" s="67">
        <f>E19*I23</f>
        <v>95747.27098544233</v>
      </c>
      <c r="F23" s="67">
        <f>D23</f>
        <v>101494.95641657335</v>
      </c>
      <c r="G23" s="68">
        <f t="shared" si="0"/>
        <v>-5747.685431131016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7">
        <v>0</v>
      </c>
      <c r="G24" s="147">
        <f t="shared" si="0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4538.14</v>
      </c>
      <c r="F25" s="147">
        <f>D25</f>
        <v>0</v>
      </c>
      <c r="G25" s="147">
        <f t="shared" si="0"/>
        <v>4538.14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458.28</v>
      </c>
      <c r="E26" s="147">
        <v>431.12</v>
      </c>
      <c r="F26" s="147">
        <f>D26</f>
        <v>458.28</v>
      </c>
      <c r="G26" s="147">
        <f t="shared" si="0"/>
        <v>-27.159999999999968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65166.36</v>
      </c>
      <c r="E27" s="147">
        <v>61836.01</v>
      </c>
      <c r="F27" s="153">
        <f>F42</f>
        <v>1365.1601</v>
      </c>
      <c r="G27" s="147">
        <f t="shared" si="0"/>
        <v>-3330.3499999999985</v>
      </c>
    </row>
    <row r="28" spans="1:7" ht="15">
      <c r="A28" s="129" t="s">
        <v>33</v>
      </c>
      <c r="B28" s="36" t="s">
        <v>34</v>
      </c>
      <c r="C28" s="176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1543327.2999999998</v>
      </c>
      <c r="E29" s="147">
        <f>SUM(E30:E33)</f>
        <v>1456586.84</v>
      </c>
      <c r="F29" s="147">
        <f>SUM(F30:F33)</f>
        <v>1543327.2999999998</v>
      </c>
      <c r="G29" s="147">
        <f>SUM(G30:G33)</f>
        <v>-86740.4599999999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31444.72</v>
      </c>
      <c r="E30" s="68">
        <v>29633.21</v>
      </c>
      <c r="F30" s="68">
        <f>D30</f>
        <v>31444.72</v>
      </c>
      <c r="G30" s="68">
        <f>E30-D30</f>
        <v>-1811.510000000002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368973.68</v>
      </c>
      <c r="E31" s="68">
        <v>346565.6</v>
      </c>
      <c r="F31" s="68">
        <f>D31</f>
        <v>368973.68</v>
      </c>
      <c r="G31" s="68">
        <f>E31-D31</f>
        <v>-22408.080000000016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1142908.9</v>
      </c>
      <c r="E33" s="68">
        <v>1080388.03</v>
      </c>
      <c r="F33" s="68">
        <f>D33</f>
        <v>1142908.9</v>
      </c>
      <c r="G33" s="68">
        <f>E33-D33</f>
        <v>-62520.86999999988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422900.12999999966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99543.7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271433.6199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5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27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SUM(F43:L44)</f>
        <v>1365.1601</v>
      </c>
      <c r="G42" s="291"/>
      <c r="H42" s="12"/>
      <c r="I42" s="12"/>
    </row>
    <row r="43" spans="1:9" s="12" customFormat="1" ht="12.75" customHeight="1">
      <c r="A43" s="9" t="s">
        <v>16</v>
      </c>
      <c r="B43" s="271" t="s">
        <v>470</v>
      </c>
      <c r="C43" s="273"/>
      <c r="D43" s="158" t="s">
        <v>416</v>
      </c>
      <c r="E43" s="192">
        <v>0.013</v>
      </c>
      <c r="F43" s="308">
        <v>746.8</v>
      </c>
      <c r="G43" s="309"/>
      <c r="H43" s="1"/>
      <c r="I43" s="1"/>
    </row>
    <row r="44" spans="1:9" s="3" customFormat="1" ht="15">
      <c r="A44" s="9" t="s">
        <v>18</v>
      </c>
      <c r="B44" s="131" t="s">
        <v>286</v>
      </c>
      <c r="C44" s="132"/>
      <c r="D44" s="158"/>
      <c r="E44" s="158"/>
      <c r="F44" s="294">
        <f>E27*1%</f>
        <v>618.3601</v>
      </c>
      <c r="G44" s="294"/>
      <c r="H44" s="1"/>
      <c r="I44" s="1"/>
    </row>
    <row r="45" s="3" customFormat="1" ht="13.5" customHeight="1"/>
    <row r="46" s="3" customFormat="1" ht="13.5" customHeight="1"/>
    <row r="47" spans="1:6" s="3" customFormat="1" ht="13.5" customHeight="1">
      <c r="A47" s="3" t="s">
        <v>55</v>
      </c>
      <c r="C47" s="3" t="s">
        <v>49</v>
      </c>
      <c r="F47" s="3" t="s">
        <v>102</v>
      </c>
    </row>
    <row r="48" s="3" customFormat="1" ht="13.5" customHeight="1">
      <c r="F48" s="4" t="s">
        <v>303</v>
      </c>
    </row>
    <row r="49" s="3" customFormat="1" ht="15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pans="1:7" s="3" customFormat="1" ht="15">
      <c r="A52" s="1"/>
      <c r="B52" s="1"/>
      <c r="C52" s="1"/>
      <c r="D52" s="1"/>
      <c r="E52" s="1"/>
      <c r="F52" s="1"/>
      <c r="G52" s="1"/>
    </row>
  </sheetData>
  <sheetProtection/>
  <mergeCells count="17">
    <mergeCell ref="A34:C34"/>
    <mergeCell ref="A39:I39"/>
    <mergeCell ref="B41:C41"/>
    <mergeCell ref="F41:G41"/>
    <mergeCell ref="B42:C42"/>
    <mergeCell ref="F43:G43"/>
    <mergeCell ref="B43:C43"/>
    <mergeCell ref="A1:I1"/>
    <mergeCell ref="A2:I2"/>
    <mergeCell ref="A5:I5"/>
    <mergeCell ref="A10:I10"/>
    <mergeCell ref="A3:K3"/>
    <mergeCell ref="F44:G44"/>
    <mergeCell ref="A13:C13"/>
    <mergeCell ref="A11:I11"/>
    <mergeCell ref="A12:I12"/>
    <mergeCell ref="F42:G42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47" sqref="F47:G47"/>
    </sheetView>
  </sheetViews>
  <sheetFormatPr defaultColWidth="9.140625" defaultRowHeight="15" outlineLevelCol="1"/>
  <cols>
    <col min="1" max="1" width="4.7109375" style="1" customWidth="1"/>
    <col min="2" max="2" width="49.28125" style="1" customWidth="1"/>
    <col min="3" max="3" width="12.8515625" style="1" customWidth="1"/>
    <col min="4" max="4" width="13.140625" style="1" bestFit="1" customWidth="1"/>
    <col min="5" max="5" width="13.140625" style="1" customWidth="1"/>
    <col min="6" max="6" width="13.8515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7.5" customHeight="1"/>
    <row r="7" spans="1:6" s="3" customFormat="1" ht="16.5" customHeight="1">
      <c r="A7" s="3" t="s">
        <v>2</v>
      </c>
      <c r="F7" s="4" t="s">
        <v>76</v>
      </c>
    </row>
    <row r="8" spans="1:6" s="3" customFormat="1" ht="15">
      <c r="A8" s="3" t="s">
        <v>3</v>
      </c>
      <c r="F8" s="4" t="s">
        <v>77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203871.44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-154287.01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-730736.54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8.93</v>
      </c>
      <c r="D19" s="146">
        <v>291936.24</v>
      </c>
      <c r="E19" s="146">
        <v>275746.13</v>
      </c>
      <c r="F19" s="146">
        <f aca="true" t="shared" si="0" ref="F19:F26">D19</f>
        <v>291936.24</v>
      </c>
      <c r="G19" s="147">
        <f aca="true" t="shared" si="1" ref="G19:G28">E19-D19</f>
        <v>-16190.109999999986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105267.04286674132</v>
      </c>
      <c r="E20" s="67">
        <f>E19*I20</f>
        <v>99429.1756550952</v>
      </c>
      <c r="F20" s="67">
        <f t="shared" si="0"/>
        <v>105267.04286674132</v>
      </c>
      <c r="G20" s="68">
        <f t="shared" si="1"/>
        <v>-5837.867211646124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51652.77258678611</v>
      </c>
      <c r="E21" s="67">
        <f>E19*I21</f>
        <v>48788.229048152294</v>
      </c>
      <c r="F21" s="67">
        <f t="shared" si="0"/>
        <v>51652.77258678611</v>
      </c>
      <c r="G21" s="68">
        <f t="shared" si="1"/>
        <v>-2864.543538633814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46422.112071668525</v>
      </c>
      <c r="E22" s="67">
        <f>E19*I22</f>
        <v>43847.64889137738</v>
      </c>
      <c r="F22" s="67">
        <f t="shared" si="0"/>
        <v>46422.112071668525</v>
      </c>
      <c r="G22" s="68">
        <f t="shared" si="1"/>
        <v>-2574.4631802911463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88594.31247480403</v>
      </c>
      <c r="E23" s="67">
        <f>E19*I23</f>
        <v>83681.07640537515</v>
      </c>
      <c r="F23" s="67">
        <f t="shared" si="0"/>
        <v>88594.31247480403</v>
      </c>
      <c r="G23" s="68">
        <f t="shared" si="1"/>
        <v>-4913.23606942888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75">
        <v>0</v>
      </c>
      <c r="D24" s="147">
        <v>0</v>
      </c>
      <c r="E24" s="147">
        <v>2036.57</v>
      </c>
      <c r="F24" s="147">
        <v>0</v>
      </c>
      <c r="G24" s="147">
        <f t="shared" si="1"/>
        <v>2036.57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4905.29</v>
      </c>
      <c r="F25" s="147">
        <f t="shared" si="0"/>
        <v>0</v>
      </c>
      <c r="G25" s="147">
        <f t="shared" si="1"/>
        <v>4905.29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13468.56</v>
      </c>
      <c r="E26" s="147">
        <v>12646.1</v>
      </c>
      <c r="F26" s="147">
        <f t="shared" si="0"/>
        <v>13468.56</v>
      </c>
      <c r="G26" s="147">
        <f t="shared" si="1"/>
        <v>-822.4599999999991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56883.36</v>
      </c>
      <c r="E27" s="147">
        <v>53772.75</v>
      </c>
      <c r="F27" s="153">
        <f>F42</f>
        <v>302562.3575</v>
      </c>
      <c r="G27" s="147">
        <f t="shared" si="1"/>
        <v>-3110.6100000000006</v>
      </c>
    </row>
    <row r="28" spans="1:7" ht="15">
      <c r="A28" s="129" t="s">
        <v>33</v>
      </c>
      <c r="B28" s="36" t="s">
        <v>34</v>
      </c>
      <c r="C28" s="176">
        <v>0</v>
      </c>
      <c r="D28" s="147">
        <v>0</v>
      </c>
      <c r="E28" s="147">
        <v>10.12</v>
      </c>
      <c r="F28" s="153">
        <v>0</v>
      </c>
      <c r="G28" s="147">
        <f t="shared" si="1"/>
        <v>10.12</v>
      </c>
    </row>
    <row r="29" spans="1:7" ht="15">
      <c r="A29" s="129" t="s">
        <v>35</v>
      </c>
      <c r="B29" s="36" t="s">
        <v>36</v>
      </c>
      <c r="C29" s="175"/>
      <c r="D29" s="147">
        <f>SUM(D30:D33)</f>
        <v>1175414.9100000001</v>
      </c>
      <c r="E29" s="147">
        <f>SUM(E30:E33)</f>
        <v>1112017.67</v>
      </c>
      <c r="F29" s="147">
        <f>SUM(F30:F33)</f>
        <v>1175414.9100000001</v>
      </c>
      <c r="G29" s="147">
        <f>SUM(G30:G33)</f>
        <v>-63397.240000000056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11844.86</v>
      </c>
      <c r="E30" s="68">
        <v>11147.49</v>
      </c>
      <c r="F30" s="68">
        <f>D30</f>
        <v>11844.86</v>
      </c>
      <c r="G30" s="68">
        <f>E30-D30</f>
        <v>-697.3700000000008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364991.12</v>
      </c>
      <c r="E31" s="68">
        <v>349707.94</v>
      </c>
      <c r="F31" s="68">
        <f>D31</f>
        <v>364991.12</v>
      </c>
      <c r="G31" s="68">
        <f>E31-D31</f>
        <v>-15283.179999999993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798578.93</v>
      </c>
      <c r="E33" s="68">
        <v>751162.24</v>
      </c>
      <c r="F33" s="68">
        <f>D33</f>
        <v>798578.93</v>
      </c>
      <c r="G33" s="68">
        <f>E33-D33</f>
        <v>-47416.69000000006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280439.8800000001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-154276.89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-979526.1475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6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27.75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SUM(F43:L47)</f>
        <v>302562.3575</v>
      </c>
      <c r="G42" s="291"/>
      <c r="H42" s="12"/>
      <c r="I42" s="12"/>
    </row>
    <row r="43" spans="1:7" ht="12.75" customHeight="1">
      <c r="A43" s="9" t="s">
        <v>16</v>
      </c>
      <c r="B43" s="271" t="s">
        <v>449</v>
      </c>
      <c r="C43" s="273"/>
      <c r="D43" s="158" t="s">
        <v>410</v>
      </c>
      <c r="E43" s="158">
        <v>0.01</v>
      </c>
      <c r="F43" s="294">
        <v>12249</v>
      </c>
      <c r="G43" s="294"/>
    </row>
    <row r="44" spans="1:9" s="48" customFormat="1" ht="12.75" customHeight="1">
      <c r="A44" s="9" t="s">
        <v>18</v>
      </c>
      <c r="B44" s="271" t="s">
        <v>450</v>
      </c>
      <c r="C44" s="273"/>
      <c r="D44" s="158" t="s">
        <v>412</v>
      </c>
      <c r="E44" s="158">
        <v>0.7</v>
      </c>
      <c r="F44" s="308">
        <v>256287.23</v>
      </c>
      <c r="G44" s="309"/>
      <c r="H44" s="1"/>
      <c r="I44" s="1"/>
    </row>
    <row r="45" spans="1:9" s="48" customFormat="1" ht="12.75" customHeight="1">
      <c r="A45" s="9" t="s">
        <v>20</v>
      </c>
      <c r="B45" s="271" t="s">
        <v>250</v>
      </c>
      <c r="C45" s="273"/>
      <c r="D45" s="158" t="s">
        <v>239</v>
      </c>
      <c r="E45" s="158">
        <v>600</v>
      </c>
      <c r="F45" s="308">
        <v>3488.4</v>
      </c>
      <c r="G45" s="309"/>
      <c r="H45" s="1"/>
      <c r="I45" s="1"/>
    </row>
    <row r="46" spans="1:9" s="48" customFormat="1" ht="12.75" customHeight="1">
      <c r="A46" s="9" t="s">
        <v>22</v>
      </c>
      <c r="B46" s="213" t="s">
        <v>717</v>
      </c>
      <c r="C46" s="214"/>
      <c r="D46" s="158"/>
      <c r="E46" s="158"/>
      <c r="F46" s="308">
        <v>30000</v>
      </c>
      <c r="G46" s="309"/>
      <c r="H46" s="1"/>
      <c r="I46" s="1"/>
    </row>
    <row r="47" spans="1:9" s="48" customFormat="1" ht="12.75" customHeight="1">
      <c r="A47" s="9" t="s">
        <v>24</v>
      </c>
      <c r="B47" s="131" t="s">
        <v>286</v>
      </c>
      <c r="C47" s="132"/>
      <c r="D47" s="158"/>
      <c r="E47" s="158"/>
      <c r="F47" s="294">
        <f>E27*1%</f>
        <v>537.7275</v>
      </c>
      <c r="G47" s="294"/>
      <c r="H47" s="1"/>
      <c r="I47" s="1"/>
    </row>
    <row r="48" spans="1:9" s="48" customFormat="1" ht="12.7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s="48" customFormat="1" ht="12.75" customHeight="1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  <c r="H49" s="3"/>
      <c r="I49" s="3"/>
    </row>
    <row r="50" spans="1:9" ht="15">
      <c r="A50" s="3"/>
      <c r="B50" s="3"/>
      <c r="C50" s="3"/>
      <c r="D50" s="3"/>
      <c r="E50" s="3"/>
      <c r="F50" s="4" t="s">
        <v>303</v>
      </c>
      <c r="G50" s="3"/>
      <c r="H50" s="3"/>
      <c r="I50" s="3"/>
    </row>
    <row r="51" s="3" customFormat="1" ht="15">
      <c r="A51" s="3" t="s">
        <v>50</v>
      </c>
    </row>
    <row r="52" spans="3:7" s="3" customFormat="1" ht="13.5" customHeight="1">
      <c r="C52" s="14" t="s">
        <v>51</v>
      </c>
      <c r="E52" s="14"/>
      <c r="F52" s="14"/>
      <c r="G52" s="14"/>
    </row>
    <row r="53" spans="8:9" s="3" customFormat="1" ht="15">
      <c r="H53" s="1"/>
      <c r="I53" s="1"/>
    </row>
    <row r="54" spans="3:7" s="3" customFormat="1" ht="15">
      <c r="C54" s="14"/>
      <c r="E54" s="14"/>
      <c r="F54" s="14"/>
      <c r="G54" s="14"/>
    </row>
    <row r="55" s="3" customFormat="1" ht="15"/>
    <row r="56" s="3" customFormat="1" ht="15"/>
  </sheetData>
  <sheetProtection/>
  <mergeCells count="22">
    <mergeCell ref="B44:C44"/>
    <mergeCell ref="B45:C45"/>
    <mergeCell ref="F47:G47"/>
    <mergeCell ref="F45:G45"/>
    <mergeCell ref="F44:G44"/>
    <mergeCell ref="B43:C43"/>
    <mergeCell ref="F46:G46"/>
    <mergeCell ref="A1:I1"/>
    <mergeCell ref="A2:I2"/>
    <mergeCell ref="A5:I5"/>
    <mergeCell ref="A10:I10"/>
    <mergeCell ref="A3:K3"/>
    <mergeCell ref="A12:I12"/>
    <mergeCell ref="A11:I11"/>
    <mergeCell ref="A13:C13"/>
    <mergeCell ref="F43:G43"/>
    <mergeCell ref="F42:G42"/>
    <mergeCell ref="A34:C34"/>
    <mergeCell ref="A39:I39"/>
    <mergeCell ref="B41:C41"/>
    <mergeCell ref="F41:G41"/>
    <mergeCell ref="B42:C42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33" sqref="E33"/>
    </sheetView>
  </sheetViews>
  <sheetFormatPr defaultColWidth="9.140625" defaultRowHeight="15" outlineLevelCol="1"/>
  <cols>
    <col min="1" max="1" width="5.28125" style="1" customWidth="1"/>
    <col min="2" max="2" width="43.140625" style="1" customWidth="1"/>
    <col min="3" max="3" width="13.28125" style="77" customWidth="1"/>
    <col min="4" max="4" width="13.8515625" style="77" customWidth="1"/>
    <col min="5" max="5" width="13.7109375" style="77" customWidth="1"/>
    <col min="6" max="6" width="14.57421875" style="77" customWidth="1"/>
    <col min="7" max="7" width="15.00390625" style="77" customWidth="1"/>
    <col min="8" max="8" width="10.8515625" style="1" hidden="1" customWidth="1" outlineLevel="1"/>
    <col min="9" max="9" width="13.42187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3" customHeight="1">
      <c r="A4" s="2"/>
      <c r="B4" s="2"/>
      <c r="C4" s="116"/>
      <c r="D4" s="116"/>
      <c r="E4" s="116"/>
      <c r="F4" s="116"/>
      <c r="G4" s="116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7" s="3" customFormat="1" ht="16.5" customHeight="1">
      <c r="A7" s="3" t="s">
        <v>2</v>
      </c>
      <c r="C7" s="117"/>
      <c r="D7" s="117"/>
      <c r="E7" s="117"/>
      <c r="F7" s="118" t="s">
        <v>56</v>
      </c>
      <c r="G7" s="117"/>
    </row>
    <row r="8" spans="1:7" s="3" customFormat="1" ht="15">
      <c r="A8" s="3" t="s">
        <v>3</v>
      </c>
      <c r="C8" s="117"/>
      <c r="D8" s="117"/>
      <c r="E8" s="117"/>
      <c r="F8" s="118" t="s">
        <v>149</v>
      </c>
      <c r="G8" s="117"/>
    </row>
    <row r="9" spans="3:7" s="3" customFormat="1" ht="4.5" customHeight="1">
      <c r="C9" s="117"/>
      <c r="D9" s="117"/>
      <c r="E9" s="117"/>
      <c r="F9" s="117"/>
      <c r="G9" s="117"/>
    </row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119">
        <v>123063.64</v>
      </c>
      <c r="E13" s="120"/>
      <c r="F13" s="120"/>
      <c r="G13" s="120"/>
      <c r="H13" s="40"/>
      <c r="I13" s="40"/>
    </row>
    <row r="14" spans="1:9" s="15" customFormat="1" ht="6" customHeight="1" thickBot="1">
      <c r="A14" s="41"/>
      <c r="B14" s="41"/>
      <c r="C14" s="121"/>
      <c r="D14" s="120"/>
      <c r="E14" s="120"/>
      <c r="F14" s="120"/>
      <c r="G14" s="120"/>
      <c r="H14" s="40"/>
      <c r="I14" s="40"/>
    </row>
    <row r="15" spans="1:9" s="15" customFormat="1" ht="15.75" thickBot="1">
      <c r="A15" s="87" t="s">
        <v>228</v>
      </c>
      <c r="B15" s="43"/>
      <c r="C15" s="122"/>
      <c r="D15" s="123"/>
      <c r="E15" s="123"/>
      <c r="F15" s="123"/>
      <c r="G15" s="119">
        <v>34925.52</v>
      </c>
      <c r="H15" s="40"/>
      <c r="I15" s="40"/>
    </row>
    <row r="16" spans="1:9" s="15" customFormat="1" ht="15.75" thickBot="1">
      <c r="A16" s="87" t="s">
        <v>229</v>
      </c>
      <c r="B16" s="43"/>
      <c r="C16" s="122"/>
      <c r="D16" s="123"/>
      <c r="E16" s="123"/>
      <c r="F16" s="123"/>
      <c r="G16" s="119">
        <v>157190.79</v>
      </c>
      <c r="H16" s="40"/>
      <c r="I16" s="40"/>
    </row>
    <row r="17" spans="3:7" s="3" customFormat="1" ht="8.25" customHeight="1">
      <c r="C17" s="117"/>
      <c r="D17" s="117"/>
      <c r="E17" s="117"/>
      <c r="F17" s="117"/>
      <c r="G17" s="117"/>
    </row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4.25">
      <c r="A19" s="163" t="s">
        <v>14</v>
      </c>
      <c r="B19" s="36" t="s">
        <v>15</v>
      </c>
      <c r="C19" s="145">
        <f>C20+C21+C22+C23</f>
        <v>8.93</v>
      </c>
      <c r="D19" s="146">
        <v>504606.6</v>
      </c>
      <c r="E19" s="146">
        <v>508451.98</v>
      </c>
      <c r="F19" s="146">
        <f aca="true" t="shared" si="0" ref="F19:F24">D19</f>
        <v>504606.6</v>
      </c>
      <c r="G19" s="147">
        <f aca="true" t="shared" si="1" ref="G19:G25">D19-E19</f>
        <v>-3845.3800000000047</v>
      </c>
      <c r="H19" s="164">
        <f>C19</f>
        <v>8.93</v>
      </c>
    </row>
    <row r="20" spans="1:9" s="3" customFormat="1" ht="15">
      <c r="A20" s="8" t="s">
        <v>16</v>
      </c>
      <c r="B20" s="28" t="s">
        <v>17</v>
      </c>
      <c r="C20" s="139">
        <v>3.22</v>
      </c>
      <c r="D20" s="67">
        <f>D19*I20</f>
        <v>181952.2118701008</v>
      </c>
      <c r="E20" s="67">
        <f>E19*I20</f>
        <v>183338.78786114222</v>
      </c>
      <c r="F20" s="67">
        <f t="shared" si="0"/>
        <v>181952.2118701008</v>
      </c>
      <c r="G20" s="68">
        <f t="shared" si="1"/>
        <v>-1386.5759910414345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28" t="s">
        <v>19</v>
      </c>
      <c r="C21" s="139">
        <f>1.43+0.15</f>
        <v>1.5799999999999998</v>
      </c>
      <c r="D21" s="67">
        <f>D19*I21</f>
        <v>89280.89899216124</v>
      </c>
      <c r="E21" s="67">
        <f>E19*I21</f>
        <v>89961.26857782753</v>
      </c>
      <c r="F21" s="67">
        <f t="shared" si="0"/>
        <v>89280.89899216124</v>
      </c>
      <c r="G21" s="68">
        <f t="shared" si="1"/>
        <v>-680.3695856662962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28" t="s">
        <v>21</v>
      </c>
      <c r="C22" s="139">
        <f>1.89-0.47</f>
        <v>1.42</v>
      </c>
      <c r="D22" s="67">
        <f>D19*I22</f>
        <v>80239.7952967525</v>
      </c>
      <c r="E22" s="67">
        <f>E19*I22</f>
        <v>80851.26669652855</v>
      </c>
      <c r="F22" s="67">
        <f t="shared" si="0"/>
        <v>80239.7952967525</v>
      </c>
      <c r="G22" s="68">
        <f t="shared" si="1"/>
        <v>-611.4713997760409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28" t="s">
        <v>23</v>
      </c>
      <c r="C23" s="139">
        <v>2.71</v>
      </c>
      <c r="D23" s="67">
        <f>D19*I23</f>
        <v>153133.69384098545</v>
      </c>
      <c r="E23" s="67">
        <f>E19*I23</f>
        <v>154300.65686450168</v>
      </c>
      <c r="F23" s="67">
        <f t="shared" si="0"/>
        <v>153133.69384098545</v>
      </c>
      <c r="G23" s="68">
        <f t="shared" si="1"/>
        <v>-1166.963023516233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230</v>
      </c>
      <c r="C24" s="152">
        <v>1832.48</v>
      </c>
      <c r="D24" s="153">
        <v>5956.26</v>
      </c>
      <c r="E24" s="153">
        <v>5877.81</v>
      </c>
      <c r="F24" s="153">
        <f t="shared" si="0"/>
        <v>5956.26</v>
      </c>
      <c r="G24" s="153">
        <f t="shared" si="1"/>
        <v>78.44999999999982</v>
      </c>
    </row>
    <row r="25" spans="1:7" s="162" customFormat="1" ht="14.25">
      <c r="A25" s="129" t="s">
        <v>27</v>
      </c>
      <c r="B25" s="151" t="s">
        <v>131</v>
      </c>
      <c r="C25" s="152">
        <v>1.74</v>
      </c>
      <c r="D25" s="153">
        <v>98322.24</v>
      </c>
      <c r="E25" s="153">
        <v>99199.64</v>
      </c>
      <c r="F25" s="153">
        <f>F40</f>
        <v>15839.776399999999</v>
      </c>
      <c r="G25" s="153">
        <f t="shared" si="1"/>
        <v>-877.3999999999942</v>
      </c>
    </row>
    <row r="26" spans="1:7" s="162" customFormat="1" ht="14.25">
      <c r="A26" s="129" t="s">
        <v>29</v>
      </c>
      <c r="B26" s="36" t="s">
        <v>36</v>
      </c>
      <c r="C26" s="145"/>
      <c r="D26" s="147">
        <f>SUM(D27:D30)</f>
        <v>2188716.55</v>
      </c>
      <c r="E26" s="147">
        <f>SUM(E27:E30)</f>
        <v>2228008.71</v>
      </c>
      <c r="F26" s="147">
        <f>SUM(F27:F30)</f>
        <v>2188716.55</v>
      </c>
      <c r="G26" s="147">
        <f>SUM(G27:G30)</f>
        <v>39292.15999999997</v>
      </c>
    </row>
    <row r="27" spans="1:7" ht="15">
      <c r="A27" s="9" t="s">
        <v>318</v>
      </c>
      <c r="B27" s="9" t="s">
        <v>235</v>
      </c>
      <c r="C27" s="134" t="s">
        <v>315</v>
      </c>
      <c r="D27" s="68">
        <v>48108</v>
      </c>
      <c r="E27" s="68">
        <v>48574.82</v>
      </c>
      <c r="F27" s="68">
        <f>D27</f>
        <v>48108</v>
      </c>
      <c r="G27" s="68">
        <f>E27-D27</f>
        <v>466.8199999999997</v>
      </c>
    </row>
    <row r="28" spans="1:7" ht="15">
      <c r="A28" s="9" t="s">
        <v>319</v>
      </c>
      <c r="B28" s="9" t="s">
        <v>168</v>
      </c>
      <c r="C28" s="134" t="s">
        <v>314</v>
      </c>
      <c r="D28" s="68">
        <v>675294.98</v>
      </c>
      <c r="E28" s="68">
        <v>684576.41</v>
      </c>
      <c r="F28" s="68">
        <f>D28</f>
        <v>675294.98</v>
      </c>
      <c r="G28" s="68">
        <f>E28-D28</f>
        <v>9281.430000000051</v>
      </c>
    </row>
    <row r="29" spans="1:7" s="97" customFormat="1" ht="15">
      <c r="A29" s="95" t="s">
        <v>320</v>
      </c>
      <c r="B29" s="28" t="s">
        <v>170</v>
      </c>
      <c r="C29" s="182">
        <v>0</v>
      </c>
      <c r="D29" s="68">
        <v>0</v>
      </c>
      <c r="E29" s="68">
        <v>0</v>
      </c>
      <c r="F29" s="68">
        <f>D29</f>
        <v>0</v>
      </c>
      <c r="G29" s="68">
        <f>E29-D29</f>
        <v>0</v>
      </c>
    </row>
    <row r="30" spans="1:7" ht="15">
      <c r="A30" s="9" t="s">
        <v>321</v>
      </c>
      <c r="B30" s="28" t="s">
        <v>43</v>
      </c>
      <c r="C30" s="134" t="s">
        <v>316</v>
      </c>
      <c r="D30" s="68">
        <v>1465313.57</v>
      </c>
      <c r="E30" s="68">
        <v>1494857.48</v>
      </c>
      <c r="F30" s="68">
        <f>D30</f>
        <v>1465313.57</v>
      </c>
      <c r="G30" s="68">
        <f>E30-D30</f>
        <v>29543.909999999916</v>
      </c>
    </row>
    <row r="31" spans="1:7" ht="5.25" customHeight="1" thickBot="1">
      <c r="A31" s="49"/>
      <c r="B31" s="49"/>
      <c r="C31" s="124"/>
      <c r="D31" s="125"/>
      <c r="E31" s="125"/>
      <c r="F31" s="125"/>
      <c r="G31" s="125"/>
    </row>
    <row r="32" spans="1:9" s="15" customFormat="1" ht="15.75" thickBot="1">
      <c r="A32" s="265" t="s">
        <v>299</v>
      </c>
      <c r="B32" s="266"/>
      <c r="C32" s="266"/>
      <c r="D32" s="73">
        <f>D13+D19+D24+D25+D26-E19-E24-E25-E26</f>
        <v>79127.1499999999</v>
      </c>
      <c r="E32" s="120"/>
      <c r="F32" s="120"/>
      <c r="G32" s="120"/>
      <c r="H32" s="40"/>
      <c r="I32" s="40"/>
    </row>
    <row r="33" spans="1:9" s="15" customFormat="1" ht="6" customHeight="1" thickBot="1">
      <c r="A33" s="41"/>
      <c r="B33" s="41"/>
      <c r="C33" s="121"/>
      <c r="D33" s="120"/>
      <c r="E33" s="120"/>
      <c r="F33" s="120"/>
      <c r="G33" s="120"/>
      <c r="H33" s="40"/>
      <c r="I33" s="40"/>
    </row>
    <row r="34" spans="1:9" s="15" customFormat="1" ht="15.75" thickBot="1">
      <c r="A34" s="87" t="s">
        <v>300</v>
      </c>
      <c r="B34" s="43"/>
      <c r="C34" s="122"/>
      <c r="D34" s="123"/>
      <c r="E34" s="123"/>
      <c r="F34" s="123"/>
      <c r="G34" s="119">
        <f>G15</f>
        <v>34925.52</v>
      </c>
      <c r="H34" s="40"/>
      <c r="I34" s="40"/>
    </row>
    <row r="35" spans="1:9" s="15" customFormat="1" ht="15.75" thickBot="1">
      <c r="A35" s="87" t="s">
        <v>229</v>
      </c>
      <c r="B35" s="43"/>
      <c r="C35" s="122"/>
      <c r="D35" s="123"/>
      <c r="E35" s="123"/>
      <c r="F35" s="123"/>
      <c r="G35" s="119">
        <f>G16+E25-F25</f>
        <v>240550.6536</v>
      </c>
      <c r="H35" s="40"/>
      <c r="I35" s="40"/>
    </row>
    <row r="36" spans="1:9" s="15" customFormat="1" ht="15">
      <c r="A36" s="89"/>
      <c r="B36" s="41"/>
      <c r="C36" s="121"/>
      <c r="D36" s="120"/>
      <c r="E36" s="120"/>
      <c r="F36" s="120"/>
      <c r="G36" s="120"/>
      <c r="H36" s="40"/>
      <c r="I36" s="40"/>
    </row>
    <row r="37" spans="1:9" ht="28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</row>
    <row r="38" ht="6.75" customHeight="1"/>
    <row r="39" spans="1:7" s="7" customFormat="1" ht="28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1" t="s">
        <v>46</v>
      </c>
      <c r="G39" s="282"/>
    </row>
    <row r="40" spans="1:7" s="12" customFormat="1" ht="12.75" customHeight="1">
      <c r="A40" s="11" t="s">
        <v>47</v>
      </c>
      <c r="B40" s="287" t="s">
        <v>126</v>
      </c>
      <c r="C40" s="288"/>
      <c r="D40" s="169"/>
      <c r="E40" s="169"/>
      <c r="F40" s="283">
        <f>SUM(F41:G46)</f>
        <v>15839.776399999999</v>
      </c>
      <c r="G40" s="284"/>
    </row>
    <row r="41" spans="1:7" s="12" customFormat="1" ht="12.75" customHeight="1">
      <c r="A41" s="9" t="s">
        <v>16</v>
      </c>
      <c r="B41" s="271" t="s">
        <v>289</v>
      </c>
      <c r="C41" s="273"/>
      <c r="D41" s="115" t="s">
        <v>412</v>
      </c>
      <c r="E41" s="115">
        <v>0.055</v>
      </c>
      <c r="F41" s="277">
        <v>1912.44</v>
      </c>
      <c r="G41" s="278"/>
    </row>
    <row r="42" spans="1:7" s="12" customFormat="1" ht="12.75" customHeight="1">
      <c r="A42" s="9" t="s">
        <v>18</v>
      </c>
      <c r="B42" s="271" t="s">
        <v>245</v>
      </c>
      <c r="C42" s="273"/>
      <c r="D42" s="168" t="s">
        <v>234</v>
      </c>
      <c r="E42" s="168">
        <v>2</v>
      </c>
      <c r="F42" s="277">
        <v>1113.34</v>
      </c>
      <c r="G42" s="278"/>
    </row>
    <row r="43" spans="1:7" s="12" customFormat="1" ht="12.75" customHeight="1">
      <c r="A43" s="9" t="s">
        <v>20</v>
      </c>
      <c r="B43" s="271" t="s">
        <v>481</v>
      </c>
      <c r="C43" s="273"/>
      <c r="D43" s="168" t="s">
        <v>412</v>
      </c>
      <c r="E43" s="168">
        <v>0.04</v>
      </c>
      <c r="F43" s="277">
        <v>932.46</v>
      </c>
      <c r="G43" s="278"/>
    </row>
    <row r="44" spans="1:7" s="12" customFormat="1" ht="12.75" customHeight="1">
      <c r="A44" s="9" t="s">
        <v>22</v>
      </c>
      <c r="B44" s="271" t="s">
        <v>482</v>
      </c>
      <c r="C44" s="273"/>
      <c r="D44" s="168" t="s">
        <v>461</v>
      </c>
      <c r="E44" s="227">
        <v>0.0122</v>
      </c>
      <c r="F44" s="277">
        <v>889.54</v>
      </c>
      <c r="G44" s="278"/>
    </row>
    <row r="45" spans="1:7" s="12" customFormat="1" ht="12.75" customHeight="1">
      <c r="A45" s="9" t="s">
        <v>24</v>
      </c>
      <c r="B45" s="271" t="s">
        <v>718</v>
      </c>
      <c r="C45" s="273"/>
      <c r="D45" s="168"/>
      <c r="E45" s="227"/>
      <c r="F45" s="277">
        <v>10000</v>
      </c>
      <c r="G45" s="278"/>
    </row>
    <row r="46" spans="1:7" s="12" customFormat="1" ht="12.75" customHeight="1">
      <c r="A46" s="9" t="s">
        <v>116</v>
      </c>
      <c r="B46" s="275" t="s">
        <v>286</v>
      </c>
      <c r="C46" s="276"/>
      <c r="D46" s="115"/>
      <c r="E46" s="115"/>
      <c r="F46" s="277">
        <f>E25*1%</f>
        <v>991.9964</v>
      </c>
      <c r="G46" s="278"/>
    </row>
    <row r="47" spans="3:7" s="3" customFormat="1" ht="15">
      <c r="C47" s="117"/>
      <c r="D47" s="117"/>
      <c r="E47" s="117"/>
      <c r="F47" s="117"/>
      <c r="G47" s="117"/>
    </row>
    <row r="48" spans="1:7" s="3" customFormat="1" ht="15">
      <c r="A48" s="3" t="s">
        <v>55</v>
      </c>
      <c r="C48" s="117" t="s">
        <v>49</v>
      </c>
      <c r="D48" s="117"/>
      <c r="E48" s="117"/>
      <c r="F48" s="117" t="s">
        <v>102</v>
      </c>
      <c r="G48" s="117"/>
    </row>
    <row r="49" spans="3:7" s="3" customFormat="1" ht="15">
      <c r="C49" s="117"/>
      <c r="D49" s="117"/>
      <c r="E49" s="117"/>
      <c r="F49" s="118" t="s">
        <v>302</v>
      </c>
      <c r="G49" s="117"/>
    </row>
    <row r="50" spans="1:7" s="3" customFormat="1" ht="15">
      <c r="A50" s="3" t="s">
        <v>50</v>
      </c>
      <c r="C50" s="117"/>
      <c r="D50" s="117"/>
      <c r="E50" s="117"/>
      <c r="F50" s="117"/>
      <c r="G50" s="117"/>
    </row>
    <row r="51" spans="3:7" s="3" customFormat="1" ht="11.25" customHeight="1">
      <c r="C51" s="126" t="s">
        <v>51</v>
      </c>
      <c r="D51" s="117"/>
      <c r="E51" s="126"/>
      <c r="F51" s="126"/>
      <c r="G51" s="126"/>
    </row>
    <row r="52" spans="3:7" s="3" customFormat="1" ht="15">
      <c r="C52" s="117"/>
      <c r="D52" s="117"/>
      <c r="E52" s="117"/>
      <c r="F52" s="117"/>
      <c r="G52" s="117"/>
    </row>
    <row r="53" spans="3:7" s="3" customFormat="1" ht="15">
      <c r="C53" s="117"/>
      <c r="D53" s="117"/>
      <c r="E53" s="117"/>
      <c r="F53" s="117"/>
      <c r="G53" s="117"/>
    </row>
  </sheetData>
  <sheetProtection/>
  <mergeCells count="26">
    <mergeCell ref="F40:G40"/>
    <mergeCell ref="A13:C13"/>
    <mergeCell ref="A32:C32"/>
    <mergeCell ref="B39:C39"/>
    <mergeCell ref="B40:C40"/>
    <mergeCell ref="B41:C41"/>
    <mergeCell ref="A1:I1"/>
    <mergeCell ref="A2:I2"/>
    <mergeCell ref="A5:I5"/>
    <mergeCell ref="A10:I10"/>
    <mergeCell ref="A3:K3"/>
    <mergeCell ref="F41:G41"/>
    <mergeCell ref="F39:G39"/>
    <mergeCell ref="A11:I11"/>
    <mergeCell ref="A12:I12"/>
    <mergeCell ref="A37:I37"/>
    <mergeCell ref="B46:C46"/>
    <mergeCell ref="F46:G46"/>
    <mergeCell ref="F42:G42"/>
    <mergeCell ref="F43:G43"/>
    <mergeCell ref="B42:C42"/>
    <mergeCell ref="B43:C43"/>
    <mergeCell ref="B44:C44"/>
    <mergeCell ref="F44:G44"/>
    <mergeCell ref="B45:C45"/>
    <mergeCell ref="F45:G45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23" sqref="F23"/>
    </sheetView>
  </sheetViews>
  <sheetFormatPr defaultColWidth="9.140625" defaultRowHeight="15" outlineLevelCol="1"/>
  <cols>
    <col min="1" max="1" width="4.7109375" style="1" customWidth="1"/>
    <col min="2" max="2" width="42.28125" style="1" customWidth="1"/>
    <col min="3" max="4" width="12.8515625" style="1" customWidth="1"/>
    <col min="5" max="5" width="13.140625" style="1" bestFit="1" customWidth="1"/>
    <col min="6" max="6" width="15.57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2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78</v>
      </c>
    </row>
    <row r="8" spans="1:6" s="3" customFormat="1" ht="15">
      <c r="A8" s="3" t="s">
        <v>3</v>
      </c>
      <c r="F8" s="4" t="s">
        <v>184</v>
      </c>
    </row>
    <row r="9" s="3" customFormat="1" ht="5.2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304" t="s">
        <v>294</v>
      </c>
      <c r="B13" s="317"/>
      <c r="C13" s="317"/>
      <c r="D13" s="38">
        <v>227265.9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378253.82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302658.13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360821.46</v>
      </c>
      <c r="E19" s="146">
        <v>364765.48</v>
      </c>
      <c r="F19" s="146">
        <f>D19</f>
        <v>360821.46</v>
      </c>
      <c r="G19" s="147">
        <f aca="true" t="shared" si="0" ref="G19:G28">E19-D19</f>
        <v>3944.0199999999604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130105.83440089588</v>
      </c>
      <c r="E20" s="67">
        <f>E19*I20</f>
        <v>131527.9782306831</v>
      </c>
      <c r="F20" s="67">
        <f>D20</f>
        <v>130105.83440089588</v>
      </c>
      <c r="G20" s="68">
        <f t="shared" si="0"/>
        <v>1422.1438297872228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63840.75104143337</v>
      </c>
      <c r="E21" s="67">
        <f>E19*I21</f>
        <v>64538.57316909293</v>
      </c>
      <c r="F21" s="67">
        <f>D21</f>
        <v>63840.75104143337</v>
      </c>
      <c r="G21" s="68">
        <f t="shared" si="0"/>
        <v>697.822127659565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57375.8648600224</v>
      </c>
      <c r="E22" s="67">
        <f>E19*I22</f>
        <v>58003.02145576707</v>
      </c>
      <c r="F22" s="67">
        <f>D22</f>
        <v>57375.8648600224</v>
      </c>
      <c r="G22" s="68">
        <f t="shared" si="0"/>
        <v>627.1565957446728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109499.00969764839</v>
      </c>
      <c r="E23" s="67">
        <f>E19*I23</f>
        <v>110695.90714445688</v>
      </c>
      <c r="F23" s="67">
        <f>D23</f>
        <v>109499.00969764839</v>
      </c>
      <c r="G23" s="68">
        <f t="shared" si="0"/>
        <v>1196.8974468084925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75">
        <v>0</v>
      </c>
      <c r="D24" s="147">
        <v>0</v>
      </c>
      <c r="E24" s="147">
        <v>0</v>
      </c>
      <c r="F24" s="147">
        <v>0</v>
      </c>
      <c r="G24" s="147">
        <f t="shared" si="0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11549.87</v>
      </c>
      <c r="F25" s="147">
        <f>D25</f>
        <v>0</v>
      </c>
      <c r="G25" s="147">
        <f t="shared" si="0"/>
        <v>11549.87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13468.73</v>
      </c>
      <c r="E26" s="147">
        <v>13170.96</v>
      </c>
      <c r="F26" s="147">
        <f>D26</f>
        <v>13468.73</v>
      </c>
      <c r="G26" s="147">
        <f t="shared" si="0"/>
        <v>-297.77000000000044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70305.54</v>
      </c>
      <c r="E27" s="147">
        <v>71712.48</v>
      </c>
      <c r="F27" s="153">
        <f>F42</f>
        <v>56183.9048</v>
      </c>
      <c r="G27" s="147">
        <f t="shared" si="0"/>
        <v>1406.9400000000023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595.53</v>
      </c>
      <c r="F28" s="208">
        <v>0</v>
      </c>
      <c r="G28" s="147">
        <f t="shared" si="0"/>
        <v>595.53</v>
      </c>
    </row>
    <row r="29" spans="1:7" ht="15">
      <c r="A29" s="129" t="s">
        <v>35</v>
      </c>
      <c r="B29" s="36" t="s">
        <v>36</v>
      </c>
      <c r="C29" s="175"/>
      <c r="D29" s="147">
        <f>SUM(D30:D33)</f>
        <v>1364103.37</v>
      </c>
      <c r="E29" s="147">
        <f>SUM(E30:E33)</f>
        <v>1410721.22</v>
      </c>
      <c r="F29" s="147">
        <f>SUM(F30:F33)</f>
        <v>1364103.37</v>
      </c>
      <c r="G29" s="147">
        <f>SUM(G30:G33)</f>
        <v>46617.849999999984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6811.38</v>
      </c>
      <c r="E30" s="68">
        <v>7094.81</v>
      </c>
      <c r="F30" s="68">
        <f>D30</f>
        <v>6811.38</v>
      </c>
      <c r="G30" s="68">
        <f>E30-D30</f>
        <v>283.4300000000003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375609.64</v>
      </c>
      <c r="E31" s="68">
        <v>409475.84</v>
      </c>
      <c r="F31" s="68">
        <f>D31</f>
        <v>375609.64</v>
      </c>
      <c r="G31" s="68">
        <f>E31-D31</f>
        <v>33866.20000000001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981682.35</v>
      </c>
      <c r="E33" s="68">
        <v>994150.57</v>
      </c>
      <c r="F33" s="68">
        <f>D33</f>
        <v>981682.35</v>
      </c>
      <c r="G33" s="68">
        <f>E33-D33</f>
        <v>12468.219999999972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163449.45999999996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378849.35000000003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318186.70519999997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8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6.75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ht="15">
      <c r="A42" s="11" t="s">
        <v>47</v>
      </c>
      <c r="B42" s="287" t="s">
        <v>126</v>
      </c>
      <c r="C42" s="288"/>
      <c r="D42" s="157"/>
      <c r="E42" s="157"/>
      <c r="F42" s="295">
        <f>SUM(F43:L47)</f>
        <v>56183.9048</v>
      </c>
      <c r="G42" s="291"/>
      <c r="H42" s="12"/>
      <c r="I42" s="12"/>
    </row>
    <row r="43" spans="1:9" s="7" customFormat="1" ht="15">
      <c r="A43" s="9" t="s">
        <v>16</v>
      </c>
      <c r="B43" s="271" t="s">
        <v>290</v>
      </c>
      <c r="C43" s="273"/>
      <c r="D43" s="158" t="s">
        <v>412</v>
      </c>
      <c r="E43" s="158">
        <v>0.065</v>
      </c>
      <c r="F43" s="308">
        <v>1058.65</v>
      </c>
      <c r="G43" s="309"/>
      <c r="H43" s="1"/>
      <c r="I43" s="1"/>
    </row>
    <row r="44" spans="1:9" s="7" customFormat="1" ht="15">
      <c r="A44" s="9" t="s">
        <v>18</v>
      </c>
      <c r="B44" s="271" t="s">
        <v>430</v>
      </c>
      <c r="C44" s="273"/>
      <c r="D44" s="158"/>
      <c r="E44" s="158"/>
      <c r="F44" s="308">
        <v>2076</v>
      </c>
      <c r="G44" s="309"/>
      <c r="H44" s="1"/>
      <c r="I44" s="1"/>
    </row>
    <row r="45" spans="1:9" s="7" customFormat="1" ht="15">
      <c r="A45" s="9" t="s">
        <v>20</v>
      </c>
      <c r="B45" s="271" t="s">
        <v>724</v>
      </c>
      <c r="C45" s="273"/>
      <c r="D45" s="158" t="s">
        <v>238</v>
      </c>
      <c r="E45" s="158"/>
      <c r="F45" s="308">
        <v>33478.13</v>
      </c>
      <c r="G45" s="309"/>
      <c r="H45" s="1"/>
      <c r="I45" s="1"/>
    </row>
    <row r="46" spans="1:9" s="7" customFormat="1" ht="15">
      <c r="A46" s="9" t="s">
        <v>22</v>
      </c>
      <c r="B46" s="271" t="s">
        <v>725</v>
      </c>
      <c r="C46" s="273"/>
      <c r="D46" s="158"/>
      <c r="E46" s="158"/>
      <c r="F46" s="308">
        <v>18854</v>
      </c>
      <c r="G46" s="309"/>
      <c r="H46" s="1"/>
      <c r="I46" s="1"/>
    </row>
    <row r="47" spans="1:9" s="48" customFormat="1" ht="15">
      <c r="A47" s="9" t="s">
        <v>24</v>
      </c>
      <c r="B47" s="131" t="s">
        <v>286</v>
      </c>
      <c r="C47" s="132"/>
      <c r="D47" s="158"/>
      <c r="E47" s="158"/>
      <c r="F47" s="294">
        <f>E27*1%</f>
        <v>717.1247999999999</v>
      </c>
      <c r="G47" s="294"/>
      <c r="H47" s="1"/>
      <c r="I47" s="1"/>
    </row>
    <row r="48" spans="1:9" s="48" customFormat="1" ht="1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s="48" customFormat="1" ht="12" customHeight="1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  <c r="H49" s="3"/>
      <c r="I49" s="3"/>
    </row>
    <row r="50" spans="1:9" s="48" customFormat="1" ht="12" customHeight="1">
      <c r="A50" s="3"/>
      <c r="B50" s="3"/>
      <c r="C50" s="3"/>
      <c r="D50" s="3"/>
      <c r="E50" s="3"/>
      <c r="F50" s="4" t="s">
        <v>303</v>
      </c>
      <c r="G50" s="3"/>
      <c r="H50" s="3"/>
      <c r="I50" s="3"/>
    </row>
    <row r="51" s="3" customFormat="1" ht="9.75" customHeight="1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3">
    <mergeCell ref="B46:C46"/>
    <mergeCell ref="F46:G46"/>
    <mergeCell ref="B42:C42"/>
    <mergeCell ref="F47:G47"/>
    <mergeCell ref="A34:C34"/>
    <mergeCell ref="A39:I39"/>
    <mergeCell ref="B41:C41"/>
    <mergeCell ref="F41:G41"/>
    <mergeCell ref="B45:C45"/>
    <mergeCell ref="B44:C44"/>
    <mergeCell ref="F44:G44"/>
    <mergeCell ref="A12:I12"/>
    <mergeCell ref="A11:I11"/>
    <mergeCell ref="F45:G45"/>
    <mergeCell ref="A13:C13"/>
    <mergeCell ref="F43:G43"/>
    <mergeCell ref="F42:G42"/>
    <mergeCell ref="A1:I1"/>
    <mergeCell ref="A2:I2"/>
    <mergeCell ref="A5:I5"/>
    <mergeCell ref="A10:I10"/>
    <mergeCell ref="A3:K3"/>
    <mergeCell ref="B43:C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58" sqref="B58"/>
    </sheetView>
  </sheetViews>
  <sheetFormatPr defaultColWidth="9.140625" defaultRowHeight="15" outlineLevelCol="1"/>
  <cols>
    <col min="1" max="1" width="4.7109375" style="1" customWidth="1"/>
    <col min="2" max="2" width="45.7109375" style="1" customWidth="1"/>
    <col min="3" max="3" width="12.7109375" style="1" customWidth="1"/>
    <col min="4" max="4" width="13.00390625" style="1" customWidth="1"/>
    <col min="5" max="5" width="13.140625" style="1" customWidth="1"/>
    <col min="6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0.710937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2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9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.75" customHeight="1"/>
    <row r="7" spans="1:6" s="3" customFormat="1" ht="16.5" customHeight="1">
      <c r="A7" s="3" t="s">
        <v>2</v>
      </c>
      <c r="F7" s="4" t="s">
        <v>79</v>
      </c>
    </row>
    <row r="8" spans="1:6" s="3" customFormat="1" ht="15">
      <c r="A8" s="3" t="s">
        <v>3</v>
      </c>
      <c r="F8" s="4" t="s">
        <v>80</v>
      </c>
    </row>
    <row r="9" s="3" customFormat="1" ht="15"/>
    <row r="10" spans="1:9" s="3" customFormat="1" ht="13.5" customHeight="1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0.5" customHeight="1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215558.02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46424.64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-1413.83</v>
      </c>
      <c r="H16" s="40"/>
      <c r="I16" s="40"/>
    </row>
    <row r="17" s="3" customFormat="1" ht="8.2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364044.36</v>
      </c>
      <c r="E19" s="146">
        <v>364508.96</v>
      </c>
      <c r="F19" s="146">
        <f>D19</f>
        <v>364044.36</v>
      </c>
      <c r="G19" s="147">
        <f aca="true" t="shared" si="0" ref="G19:G28">E19-D19</f>
        <v>464.6000000000349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131267.95511758118</v>
      </c>
      <c r="E20" s="67">
        <f>E19*I20</f>
        <v>131435.48165733484</v>
      </c>
      <c r="F20" s="67">
        <f>D20</f>
        <v>131267.95511758118</v>
      </c>
      <c r="G20" s="68">
        <f t="shared" si="0"/>
        <v>167.52653975365683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64410.98418812989</v>
      </c>
      <c r="E21" s="67">
        <f>E19*I21</f>
        <v>64493.18665173572</v>
      </c>
      <c r="F21" s="67">
        <f>D21</f>
        <v>64410.98418812989</v>
      </c>
      <c r="G21" s="68">
        <f t="shared" si="0"/>
        <v>82.20246360582678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57888.35287793952</v>
      </c>
      <c r="E22" s="67">
        <f>E19*I22</f>
        <v>57962.23104143337</v>
      </c>
      <c r="F22" s="67">
        <f>D22</f>
        <v>57888.35287793952</v>
      </c>
      <c r="G22" s="68">
        <f t="shared" si="0"/>
        <v>73.87816349384957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110477.06781634939</v>
      </c>
      <c r="E23" s="67">
        <f>E19*I23</f>
        <v>110618.0606494961</v>
      </c>
      <c r="F23" s="67">
        <f>D23</f>
        <v>110477.06781634939</v>
      </c>
      <c r="G23" s="68">
        <f t="shared" si="0"/>
        <v>140.99283314670902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75">
        <v>0</v>
      </c>
      <c r="D24" s="147">
        <v>0</v>
      </c>
      <c r="E24" s="147">
        <v>0</v>
      </c>
      <c r="F24" s="147">
        <v>0</v>
      </c>
      <c r="G24" s="147">
        <f t="shared" si="0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11836.46</v>
      </c>
      <c r="F25" s="147">
        <f>D25</f>
        <v>0</v>
      </c>
      <c r="G25" s="147">
        <f t="shared" si="0"/>
        <v>11836.46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3665.06</v>
      </c>
      <c r="E26" s="147">
        <v>3312.07</v>
      </c>
      <c r="F26" s="147">
        <f>D26</f>
        <v>3665.06</v>
      </c>
      <c r="G26" s="147">
        <f t="shared" si="0"/>
        <v>-352.9899999999998</v>
      </c>
    </row>
    <row r="27" spans="1:13" ht="15">
      <c r="A27" s="129" t="s">
        <v>31</v>
      </c>
      <c r="B27" s="151" t="s">
        <v>131</v>
      </c>
      <c r="C27" s="175">
        <v>1.74</v>
      </c>
      <c r="D27" s="147">
        <v>70933.44</v>
      </c>
      <c r="E27" s="147">
        <v>71670.18</v>
      </c>
      <c r="F27" s="153">
        <f>F42-F47</f>
        <v>223055.12179999996</v>
      </c>
      <c r="G27" s="147">
        <f t="shared" si="0"/>
        <v>736.7399999999907</v>
      </c>
      <c r="M27" s="77"/>
    </row>
    <row r="28" spans="1:9" s="97" customFormat="1" ht="15">
      <c r="A28" s="129" t="s">
        <v>33</v>
      </c>
      <c r="B28" s="36" t="s">
        <v>34</v>
      </c>
      <c r="C28" s="198">
        <v>5.16</v>
      </c>
      <c r="D28" s="147">
        <v>35059.12</v>
      </c>
      <c r="E28" s="147">
        <v>31911.6</v>
      </c>
      <c r="F28" s="237">
        <f>F47</f>
        <v>227034</v>
      </c>
      <c r="G28" s="147">
        <f t="shared" si="0"/>
        <v>-3147.520000000004</v>
      </c>
      <c r="H28" s="1"/>
      <c r="I28" s="1"/>
    </row>
    <row r="29" spans="1:7" ht="15">
      <c r="A29" s="129" t="s">
        <v>35</v>
      </c>
      <c r="B29" s="36" t="s">
        <v>36</v>
      </c>
      <c r="C29" s="175"/>
      <c r="D29" s="147">
        <f>SUM(D30:D33)</f>
        <v>1539393.6800000002</v>
      </c>
      <c r="E29" s="147">
        <f>SUM(E30:E33)</f>
        <v>1595500.8299999998</v>
      </c>
      <c r="F29" s="147">
        <f>SUM(F30:F33)</f>
        <v>1539393.6800000002</v>
      </c>
      <c r="G29" s="147">
        <f>SUM(G30:G33)</f>
        <v>56107.149999999834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20448.54</v>
      </c>
      <c r="E30" s="68">
        <v>20354.93</v>
      </c>
      <c r="F30" s="68">
        <f>D30</f>
        <v>20448.54</v>
      </c>
      <c r="G30" s="68">
        <f>E30-D30</f>
        <v>-93.61000000000058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388585.54</v>
      </c>
      <c r="E31" s="68">
        <v>415583.77</v>
      </c>
      <c r="F31" s="68">
        <f>D31</f>
        <v>388585.54</v>
      </c>
      <c r="G31" s="68">
        <f>E31-D31</f>
        <v>26998.23000000004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1130359.6</v>
      </c>
      <c r="E33" s="68">
        <v>1159562.13</v>
      </c>
      <c r="F33" s="68">
        <f>D33</f>
        <v>1130359.6</v>
      </c>
      <c r="G33" s="68">
        <f>E33-D33</f>
        <v>29202.529999999795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149913.5800000003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-148697.76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-152798.7718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1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SUM(F43:L49)</f>
        <v>450089.12179999996</v>
      </c>
      <c r="G42" s="291"/>
      <c r="H42" s="12"/>
      <c r="I42" s="12"/>
    </row>
    <row r="43" spans="1:9" s="12" customFormat="1" ht="12.75" customHeight="1">
      <c r="A43" s="9" t="s">
        <v>16</v>
      </c>
      <c r="B43" s="271" t="s">
        <v>454</v>
      </c>
      <c r="C43" s="273"/>
      <c r="D43" s="158" t="s">
        <v>416</v>
      </c>
      <c r="E43" s="158">
        <v>0.04</v>
      </c>
      <c r="F43" s="308">
        <v>3758</v>
      </c>
      <c r="G43" s="309"/>
      <c r="H43" s="1"/>
      <c r="I43" s="1"/>
    </row>
    <row r="44" spans="1:9" s="12" customFormat="1" ht="12.75" customHeight="1">
      <c r="A44" s="9" t="s">
        <v>18</v>
      </c>
      <c r="B44" s="271" t="s">
        <v>453</v>
      </c>
      <c r="C44" s="273"/>
      <c r="D44" s="158" t="s">
        <v>238</v>
      </c>
      <c r="E44" s="158">
        <v>15</v>
      </c>
      <c r="F44" s="308">
        <v>104534.04</v>
      </c>
      <c r="G44" s="309"/>
      <c r="H44" s="1"/>
      <c r="I44" s="1"/>
    </row>
    <row r="45" spans="1:9" s="12" customFormat="1" ht="12.75" customHeight="1">
      <c r="A45" s="9" t="s">
        <v>20</v>
      </c>
      <c r="B45" s="271" t="s">
        <v>455</v>
      </c>
      <c r="C45" s="273"/>
      <c r="D45" s="158" t="s">
        <v>412</v>
      </c>
      <c r="E45" s="158">
        <v>0.03</v>
      </c>
      <c r="F45" s="308">
        <v>39479.44</v>
      </c>
      <c r="G45" s="309"/>
      <c r="H45" s="1"/>
      <c r="I45" s="1"/>
    </row>
    <row r="46" spans="1:9" s="12" customFormat="1" ht="12.75" customHeight="1">
      <c r="A46" s="9" t="s">
        <v>22</v>
      </c>
      <c r="B46" s="271" t="s">
        <v>456</v>
      </c>
      <c r="C46" s="273"/>
      <c r="D46" s="158" t="s">
        <v>412</v>
      </c>
      <c r="E46" s="158">
        <v>1</v>
      </c>
      <c r="F46" s="308">
        <v>64566.94</v>
      </c>
      <c r="G46" s="309"/>
      <c r="H46" s="1"/>
      <c r="I46" s="1"/>
    </row>
    <row r="47" spans="1:9" s="12" customFormat="1" ht="12.75" customHeight="1">
      <c r="A47" s="9" t="s">
        <v>24</v>
      </c>
      <c r="B47" s="271" t="s">
        <v>457</v>
      </c>
      <c r="C47" s="273"/>
      <c r="D47" s="158" t="s">
        <v>234</v>
      </c>
      <c r="E47" s="158">
        <v>1</v>
      </c>
      <c r="F47" s="308">
        <v>227034</v>
      </c>
      <c r="G47" s="309"/>
      <c r="H47" s="1"/>
      <c r="I47" s="1"/>
    </row>
    <row r="48" spans="1:9" s="12" customFormat="1" ht="12.75" customHeight="1">
      <c r="A48" s="9" t="s">
        <v>116</v>
      </c>
      <c r="B48" s="271" t="s">
        <v>718</v>
      </c>
      <c r="C48" s="273"/>
      <c r="D48" s="158"/>
      <c r="E48" s="158"/>
      <c r="F48" s="308">
        <v>10000</v>
      </c>
      <c r="G48" s="309"/>
      <c r="H48" s="1"/>
      <c r="I48" s="1"/>
    </row>
    <row r="49" spans="1:7" ht="12.75" customHeight="1">
      <c r="A49" s="9" t="s">
        <v>117</v>
      </c>
      <c r="B49" s="131" t="s">
        <v>286</v>
      </c>
      <c r="C49" s="132"/>
      <c r="D49" s="158"/>
      <c r="E49" s="158"/>
      <c r="F49" s="294">
        <f>E27*1%</f>
        <v>716.7017999999999</v>
      </c>
      <c r="G49" s="294"/>
    </row>
    <row r="50" spans="1:9" ht="12.7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2.75" customHeight="1">
      <c r="A51" s="3" t="s">
        <v>55</v>
      </c>
      <c r="B51" s="3"/>
      <c r="C51" s="3" t="s">
        <v>49</v>
      </c>
      <c r="D51" s="3"/>
      <c r="E51" s="3"/>
      <c r="F51" s="3" t="s">
        <v>102</v>
      </c>
      <c r="G51" s="3"/>
      <c r="H51" s="3"/>
      <c r="I51" s="3"/>
    </row>
    <row r="52" spans="1:9" ht="12.75" customHeight="1">
      <c r="A52" s="3"/>
      <c r="B52" s="3"/>
      <c r="C52" s="3"/>
      <c r="D52" s="3"/>
      <c r="E52" s="3"/>
      <c r="F52" s="4" t="s">
        <v>303</v>
      </c>
      <c r="G52" s="3"/>
      <c r="H52" s="3"/>
      <c r="I52" s="3"/>
    </row>
    <row r="53" spans="1:9" ht="12.75" customHeight="1">
      <c r="A53" s="3" t="s">
        <v>50</v>
      </c>
      <c r="B53" s="3"/>
      <c r="C53" s="3"/>
      <c r="D53" s="3"/>
      <c r="E53" s="3"/>
      <c r="F53" s="3"/>
      <c r="G53" s="3"/>
      <c r="H53" s="3"/>
      <c r="I53" s="3"/>
    </row>
    <row r="54" spans="1:9" ht="12.75" customHeight="1">
      <c r="A54" s="3"/>
      <c r="B54" s="3"/>
      <c r="C54" s="14" t="s">
        <v>51</v>
      </c>
      <c r="D54" s="3"/>
      <c r="E54" s="14"/>
      <c r="F54" s="14"/>
      <c r="G54" s="14"/>
      <c r="H54" s="3"/>
      <c r="I54" s="3"/>
    </row>
    <row r="55" s="3" customFormat="1" ht="15"/>
    <row r="56" s="3" customFormat="1" ht="15"/>
  </sheetData>
  <sheetProtection/>
  <mergeCells count="27">
    <mergeCell ref="B48:C48"/>
    <mergeCell ref="F48:G48"/>
    <mergeCell ref="F43:G43"/>
    <mergeCell ref="A34:C34"/>
    <mergeCell ref="A39:I39"/>
    <mergeCell ref="B41:C41"/>
    <mergeCell ref="F41:G41"/>
    <mergeCell ref="B42:C42"/>
    <mergeCell ref="F42:G42"/>
    <mergeCell ref="F49:G49"/>
    <mergeCell ref="F45:G45"/>
    <mergeCell ref="B43:C43"/>
    <mergeCell ref="B44:C44"/>
    <mergeCell ref="B45:C45"/>
    <mergeCell ref="F44:G44"/>
    <mergeCell ref="B46:C46"/>
    <mergeCell ref="F46:G46"/>
    <mergeCell ref="B47:C47"/>
    <mergeCell ref="F47:G47"/>
    <mergeCell ref="A13:C13"/>
    <mergeCell ref="A12:I1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1.140625" style="1" customWidth="1"/>
    <col min="3" max="3" width="13.00390625" style="1" customWidth="1"/>
    <col min="4" max="4" width="13.57421875" style="1" customWidth="1"/>
    <col min="5" max="5" width="12.8515625" style="1" customWidth="1"/>
    <col min="6" max="6" width="13.8515625" style="1" customWidth="1"/>
    <col min="7" max="7" width="15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5.25" customHeight="1"/>
    <row r="7" spans="1:6" s="3" customFormat="1" ht="16.5" customHeight="1">
      <c r="A7" s="3" t="s">
        <v>2</v>
      </c>
      <c r="F7" s="4" t="s">
        <v>81</v>
      </c>
    </row>
    <row r="8" spans="1:6" s="3" customFormat="1" ht="15">
      <c r="A8" s="3" t="s">
        <v>3</v>
      </c>
      <c r="F8" s="4" t="s">
        <v>82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85653.84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23494.68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-193908.05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9.350000000000001</v>
      </c>
      <c r="D19" s="146">
        <v>334346.16</v>
      </c>
      <c r="E19" s="146">
        <v>331133.66</v>
      </c>
      <c r="F19" s="146">
        <f>D19</f>
        <v>334346.16</v>
      </c>
      <c r="G19" s="147">
        <f aca="true" t="shared" si="0" ref="G19:G28">E19-D19</f>
        <v>-3212.5</v>
      </c>
      <c r="H19" s="71">
        <f>C19</f>
        <v>9.350000000000001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115143.81125133688</v>
      </c>
      <c r="E20" s="67">
        <f>E19*I20</f>
        <v>114037.47435294116</v>
      </c>
      <c r="F20" s="67">
        <f>D20</f>
        <v>115143.81125133688</v>
      </c>
      <c r="G20" s="68">
        <f t="shared" si="0"/>
        <v>-1106.336898395719</v>
      </c>
      <c r="H20" s="71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54711.1898181818</v>
      </c>
      <c r="E21" s="67">
        <f>E19*I21</f>
        <v>54185.50799999999</v>
      </c>
      <c r="F21" s="67">
        <f>D21</f>
        <v>54711.1898181818</v>
      </c>
      <c r="G21" s="68">
        <f t="shared" si="0"/>
        <v>-525.6818181818162</v>
      </c>
      <c r="H21" s="71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67584.41095187164</v>
      </c>
      <c r="E22" s="67">
        <f>E19*I22</f>
        <v>66935.03929411764</v>
      </c>
      <c r="F22" s="67">
        <f>D22</f>
        <v>67584.41095187164</v>
      </c>
      <c r="G22" s="68">
        <f t="shared" si="0"/>
        <v>-649.3716577540035</v>
      </c>
      <c r="H22" s="71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96906.74797860961</v>
      </c>
      <c r="E23" s="67">
        <f>E19*I23</f>
        <v>95975.63835294115</v>
      </c>
      <c r="F23" s="67">
        <f>D23</f>
        <v>96906.74797860961</v>
      </c>
      <c r="G23" s="68">
        <f t="shared" si="0"/>
        <v>-931.1096256684541</v>
      </c>
      <c r="H23" s="71">
        <f>C23</f>
        <v>2.71</v>
      </c>
      <c r="I23" s="15">
        <f>H23/H19</f>
        <v>0.28983957219251333</v>
      </c>
    </row>
    <row r="24" spans="1:7" ht="15">
      <c r="A24" s="129" t="s">
        <v>25</v>
      </c>
      <c r="B24" s="151" t="s">
        <v>241</v>
      </c>
      <c r="C24" s="152">
        <v>3.58</v>
      </c>
      <c r="D24" s="147">
        <v>127718.69</v>
      </c>
      <c r="E24" s="147">
        <v>126621.42</v>
      </c>
      <c r="F24" s="146">
        <f aca="true" t="shared" si="1" ref="F24:F33">D24</f>
        <v>127718.69</v>
      </c>
      <c r="G24" s="147">
        <f t="shared" si="0"/>
        <v>-1097.270000000004</v>
      </c>
    </row>
    <row r="25" spans="1:7" ht="15">
      <c r="A25" s="129" t="s">
        <v>27</v>
      </c>
      <c r="B25" s="151" t="s">
        <v>28</v>
      </c>
      <c r="C25" s="152">
        <v>0</v>
      </c>
      <c r="D25" s="147">
        <v>0</v>
      </c>
      <c r="E25" s="147">
        <v>6891.2</v>
      </c>
      <c r="F25" s="146">
        <f>D25</f>
        <v>0</v>
      </c>
      <c r="G25" s="147">
        <f t="shared" si="0"/>
        <v>6891.2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13010.71</v>
      </c>
      <c r="E26" s="147">
        <v>12814.69</v>
      </c>
      <c r="F26" s="146">
        <f t="shared" si="1"/>
        <v>13010.71</v>
      </c>
      <c r="G26" s="147">
        <f t="shared" si="0"/>
        <v>-196.01999999999862</v>
      </c>
    </row>
    <row r="27" spans="1:13" ht="15">
      <c r="A27" s="129" t="s">
        <v>31</v>
      </c>
      <c r="B27" s="151" t="s">
        <v>131</v>
      </c>
      <c r="C27" s="152">
        <v>1.92</v>
      </c>
      <c r="D27" s="147">
        <v>68656.74</v>
      </c>
      <c r="E27" s="147">
        <v>67984.43</v>
      </c>
      <c r="F27" s="146">
        <f>F42</f>
        <v>23574.7643</v>
      </c>
      <c r="G27" s="147">
        <f t="shared" si="0"/>
        <v>-672.3100000000122</v>
      </c>
      <c r="M27" s="77"/>
    </row>
    <row r="28" spans="1:7" ht="15">
      <c r="A28" s="129" t="s">
        <v>33</v>
      </c>
      <c r="B28" s="36" t="s">
        <v>34</v>
      </c>
      <c r="C28" s="145">
        <v>0</v>
      </c>
      <c r="D28" s="147">
        <v>0</v>
      </c>
      <c r="E28" s="147">
        <v>732.9</v>
      </c>
      <c r="F28" s="146">
        <f>D28</f>
        <v>0</v>
      </c>
      <c r="G28" s="147">
        <f t="shared" si="0"/>
        <v>732.9</v>
      </c>
    </row>
    <row r="29" spans="1:7" ht="15">
      <c r="A29" s="129" t="s">
        <v>35</v>
      </c>
      <c r="B29" s="36" t="s">
        <v>36</v>
      </c>
      <c r="C29" s="145"/>
      <c r="D29" s="147">
        <f>SUM(D30:D33)</f>
        <v>1465923.44</v>
      </c>
      <c r="E29" s="147">
        <f>SUM(E30:E33)</f>
        <v>1475578.57</v>
      </c>
      <c r="F29" s="146">
        <f t="shared" si="1"/>
        <v>1465923.44</v>
      </c>
      <c r="G29" s="147">
        <f>SUM(G30:G33)</f>
        <v>9655.12999999999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35009.34</v>
      </c>
      <c r="E30" s="68">
        <v>34642.8</v>
      </c>
      <c r="F30" s="67">
        <f>D30</f>
        <v>35009.34</v>
      </c>
      <c r="G30" s="68">
        <f>E30-D30</f>
        <v>-366.5399999999936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267030.68</v>
      </c>
      <c r="E31" s="68">
        <v>268959.21</v>
      </c>
      <c r="F31" s="67">
        <f t="shared" si="1"/>
        <v>267030.68</v>
      </c>
      <c r="G31" s="68">
        <f>E31-D31</f>
        <v>1928.530000000028</v>
      </c>
    </row>
    <row r="32" spans="1:9" s="97" customFormat="1" ht="15">
      <c r="A32" s="9" t="s">
        <v>42</v>
      </c>
      <c r="B32" s="9" t="s">
        <v>40</v>
      </c>
      <c r="C32" s="182" t="s">
        <v>346</v>
      </c>
      <c r="D32" s="96">
        <v>472496.62</v>
      </c>
      <c r="E32" s="96">
        <v>473669.83</v>
      </c>
      <c r="F32" s="67">
        <f t="shared" si="1"/>
        <v>472496.62</v>
      </c>
      <c r="G32" s="96">
        <f>E32-D32</f>
        <v>1173.210000000021</v>
      </c>
      <c r="H32" s="1"/>
      <c r="I32" s="1"/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691386.8</v>
      </c>
      <c r="E33" s="68">
        <v>698306.73</v>
      </c>
      <c r="F33" s="67">
        <f t="shared" si="1"/>
        <v>691386.8</v>
      </c>
      <c r="G33" s="68">
        <f>E33-D33</f>
        <v>6919.929999999935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73552.7100000002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24227.58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-149498.3843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4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SUM(F43:G46)</f>
        <v>23574.7643</v>
      </c>
      <c r="G42" s="291"/>
      <c r="H42" s="12"/>
      <c r="I42" s="12"/>
    </row>
    <row r="43" spans="1:9" s="7" customFormat="1" ht="15">
      <c r="A43" s="9" t="s">
        <v>16</v>
      </c>
      <c r="B43" s="271" t="s">
        <v>475</v>
      </c>
      <c r="C43" s="273"/>
      <c r="D43" s="158" t="s">
        <v>476</v>
      </c>
      <c r="E43" s="158">
        <v>1</v>
      </c>
      <c r="F43" s="294">
        <v>7629.58</v>
      </c>
      <c r="G43" s="294"/>
      <c r="H43" s="12"/>
      <c r="I43" s="12"/>
    </row>
    <row r="44" spans="1:9" s="7" customFormat="1" ht="15">
      <c r="A44" s="9" t="s">
        <v>18</v>
      </c>
      <c r="B44" s="271" t="s">
        <v>477</v>
      </c>
      <c r="C44" s="273"/>
      <c r="D44" s="158" t="s">
        <v>416</v>
      </c>
      <c r="E44" s="158">
        <v>0.32</v>
      </c>
      <c r="F44" s="294">
        <v>14115.34</v>
      </c>
      <c r="G44" s="294"/>
      <c r="H44" s="12"/>
      <c r="I44" s="12"/>
    </row>
    <row r="45" spans="1:9" s="7" customFormat="1" ht="15">
      <c r="A45" s="9" t="s">
        <v>20</v>
      </c>
      <c r="B45" s="271" t="s">
        <v>478</v>
      </c>
      <c r="C45" s="273"/>
      <c r="D45" s="158" t="s">
        <v>234</v>
      </c>
      <c r="E45" s="158">
        <v>1</v>
      </c>
      <c r="F45" s="294">
        <v>1150</v>
      </c>
      <c r="G45" s="294"/>
      <c r="H45" s="12"/>
      <c r="I45" s="12"/>
    </row>
    <row r="46" spans="1:7" ht="12.75" customHeight="1">
      <c r="A46" s="9" t="s">
        <v>22</v>
      </c>
      <c r="B46" s="131" t="s">
        <v>286</v>
      </c>
      <c r="C46" s="132"/>
      <c r="D46" s="158"/>
      <c r="E46" s="158"/>
      <c r="F46" s="294">
        <f>E27*1%</f>
        <v>679.8443</v>
      </c>
      <c r="G46" s="294"/>
    </row>
    <row r="47" spans="1:9" ht="12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3" t="s">
        <v>55</v>
      </c>
      <c r="B48" s="3"/>
      <c r="C48" s="3" t="s">
        <v>49</v>
      </c>
      <c r="D48" s="3"/>
      <c r="E48" s="3"/>
      <c r="F48" s="3" t="s">
        <v>102</v>
      </c>
      <c r="G48" s="3"/>
      <c r="H48" s="3"/>
      <c r="I48" s="3"/>
    </row>
    <row r="49" spans="1:9" ht="12.75" customHeight="1">
      <c r="A49" s="3"/>
      <c r="B49" s="3"/>
      <c r="C49" s="3"/>
      <c r="D49" s="3"/>
      <c r="E49" s="3"/>
      <c r="F49" s="4" t="s">
        <v>303</v>
      </c>
      <c r="G49" s="3"/>
      <c r="H49" s="3"/>
      <c r="I49" s="3"/>
    </row>
    <row r="50" spans="1:9" ht="12.75" customHeight="1">
      <c r="A50" s="3" t="s">
        <v>50</v>
      </c>
      <c r="B50" s="3"/>
      <c r="C50" s="3"/>
      <c r="D50" s="3"/>
      <c r="E50" s="3"/>
      <c r="F50" s="3"/>
      <c r="G50" s="3"/>
      <c r="H50" s="3"/>
      <c r="I50" s="3"/>
    </row>
    <row r="51" spans="1:9" ht="12.75" customHeight="1">
      <c r="A51" s="3"/>
      <c r="B51" s="3"/>
      <c r="C51" s="14" t="s">
        <v>51</v>
      </c>
      <c r="D51" s="3"/>
      <c r="E51" s="14"/>
      <c r="F51" s="14"/>
      <c r="G51" s="14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="3" customFormat="1" ht="15"/>
    <row r="54" spans="1:7" s="3" customFormat="1" ht="13.5" customHeight="1">
      <c r="A54" s="1"/>
      <c r="B54" s="13"/>
      <c r="C54" s="13"/>
      <c r="D54" s="13"/>
      <c r="E54" s="13"/>
      <c r="F54" s="1"/>
      <c r="G54" s="1"/>
    </row>
  </sheetData>
  <sheetProtection/>
  <mergeCells count="21">
    <mergeCell ref="B45:C45"/>
    <mergeCell ref="A39:I39"/>
    <mergeCell ref="B41:C41"/>
    <mergeCell ref="F41:G41"/>
    <mergeCell ref="B42:C42"/>
    <mergeCell ref="F46:G46"/>
    <mergeCell ref="F45:G45"/>
    <mergeCell ref="A12:I12"/>
    <mergeCell ref="F42:G42"/>
    <mergeCell ref="A13:C13"/>
    <mergeCell ref="A34:C34"/>
    <mergeCell ref="F43:G43"/>
    <mergeCell ref="F44:G44"/>
    <mergeCell ref="B43:C43"/>
    <mergeCell ref="B44:C44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14" sqref="F14"/>
    </sheetView>
  </sheetViews>
  <sheetFormatPr defaultColWidth="9.140625" defaultRowHeight="15" outlineLevelCol="1"/>
  <cols>
    <col min="1" max="1" width="4.7109375" style="1" customWidth="1"/>
    <col min="2" max="2" width="46.8515625" style="1" customWidth="1"/>
    <col min="3" max="3" width="13.00390625" style="1" customWidth="1"/>
    <col min="4" max="4" width="13.421875" style="1" customWidth="1"/>
    <col min="5" max="5" width="14.00390625" style="1" customWidth="1"/>
    <col min="6" max="6" width="12.71093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83</v>
      </c>
    </row>
    <row r="8" spans="1:6" s="3" customFormat="1" ht="15">
      <c r="A8" s="3" t="s">
        <v>3</v>
      </c>
      <c r="F8" s="4" t="s">
        <v>84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281964.77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13760.64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135035.35</v>
      </c>
      <c r="H16" s="40"/>
      <c r="I16" s="40"/>
    </row>
    <row r="17" s="3" customFormat="1" ht="8.2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30.75" customHeight="1">
      <c r="A19" s="163" t="s">
        <v>14</v>
      </c>
      <c r="B19" s="129" t="s">
        <v>15</v>
      </c>
      <c r="C19" s="145">
        <f>C20+C21+C22+C23</f>
        <v>8.93</v>
      </c>
      <c r="D19" s="146">
        <v>194785.2</v>
      </c>
      <c r="E19" s="146">
        <v>186419.78</v>
      </c>
      <c r="F19" s="146">
        <f>D19</f>
        <v>194785.2</v>
      </c>
      <c r="G19" s="147">
        <f aca="true" t="shared" si="0" ref="G19:G28">E19-D19</f>
        <v>-8365.420000000013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70236.0967525196</v>
      </c>
      <c r="E20" s="67">
        <f>E19*I20</f>
        <v>67219.6743113102</v>
      </c>
      <c r="F20" s="67">
        <f>D20</f>
        <v>70236.0967525196</v>
      </c>
      <c r="G20" s="68">
        <f t="shared" si="0"/>
        <v>-3016.4224412094045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34463.674804031354</v>
      </c>
      <c r="E21" s="67">
        <f>E19*I21</f>
        <v>32983.5668980963</v>
      </c>
      <c r="F21" s="67">
        <f>D21</f>
        <v>34463.674804031354</v>
      </c>
      <c r="G21" s="68">
        <f t="shared" si="0"/>
        <v>-1480.1079059350523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30973.68241881299</v>
      </c>
      <c r="E22" s="67">
        <f>E19*I22</f>
        <v>29643.458857782753</v>
      </c>
      <c r="F22" s="67">
        <f>D22</f>
        <v>30973.68241881299</v>
      </c>
      <c r="G22" s="68">
        <f t="shared" si="0"/>
        <v>-1330.2235610302378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59111.746024636064</v>
      </c>
      <c r="E23" s="67">
        <f>E19*I23</f>
        <v>56573.07993281075</v>
      </c>
      <c r="F23" s="67">
        <f>D23</f>
        <v>59111.746024636064</v>
      </c>
      <c r="G23" s="68">
        <f t="shared" si="0"/>
        <v>-2538.666091825311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75">
        <v>0</v>
      </c>
      <c r="D24" s="147">
        <v>0</v>
      </c>
      <c r="E24" s="147">
        <v>0</v>
      </c>
      <c r="F24" s="147">
        <v>0</v>
      </c>
      <c r="G24" s="147">
        <f>E24-D24</f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1796.14</v>
      </c>
      <c r="F25" s="147">
        <f>D25</f>
        <v>0</v>
      </c>
      <c r="G25" s="147">
        <f t="shared" si="0"/>
        <v>1796.14</v>
      </c>
    </row>
    <row r="26" spans="1:7" ht="15">
      <c r="A26" s="129" t="s">
        <v>29</v>
      </c>
      <c r="B26" s="151" t="s">
        <v>230</v>
      </c>
      <c r="C26" s="152">
        <v>1832.48</v>
      </c>
      <c r="D26" s="147">
        <v>419.65</v>
      </c>
      <c r="E26" s="147">
        <v>401.85</v>
      </c>
      <c r="F26" s="147">
        <f>D26</f>
        <v>419.65</v>
      </c>
      <c r="G26" s="147">
        <f t="shared" si="0"/>
        <v>-17.799999999999955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37953.6</v>
      </c>
      <c r="E27" s="147">
        <v>36286.58</v>
      </c>
      <c r="F27" s="153">
        <f>F42</f>
        <v>4466.8658</v>
      </c>
      <c r="G27" s="147">
        <f t="shared" si="0"/>
        <v>-1667.0199999999968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1007869.55</v>
      </c>
      <c r="E29" s="147">
        <f>SUM(E30:E33)</f>
        <v>963088.74</v>
      </c>
      <c r="F29" s="147">
        <f>SUM(F30:F33)</f>
        <v>1007869.55</v>
      </c>
      <c r="G29" s="147">
        <f>SUM(G30:G33)</f>
        <v>-44780.80999999994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18124.37</v>
      </c>
      <c r="E30" s="68">
        <v>17464.93</v>
      </c>
      <c r="F30" s="68">
        <f>D30</f>
        <v>18124.37</v>
      </c>
      <c r="G30" s="68">
        <f>E30-D30</f>
        <v>-659.4399999999987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324104.3</v>
      </c>
      <c r="E31" s="68">
        <v>299560.15</v>
      </c>
      <c r="F31" s="68">
        <f>D31</f>
        <v>324104.3</v>
      </c>
      <c r="G31" s="68">
        <f>E31-D31</f>
        <v>-24544.149999999965</v>
      </c>
    </row>
    <row r="32" spans="1:9" s="97" customFormat="1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1"/>
      <c r="I32" s="1"/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665640.88</v>
      </c>
      <c r="E33" s="68">
        <v>646063.66</v>
      </c>
      <c r="F33" s="68">
        <f>D33</f>
        <v>665640.88</v>
      </c>
      <c r="G33" s="68">
        <f>E33-D33</f>
        <v>-19577.219999999972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334999.67999999993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13760.64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166855.0642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2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28.5" customHeight="1">
      <c r="A42" s="11" t="s">
        <v>47</v>
      </c>
      <c r="B42" s="287" t="s">
        <v>126</v>
      </c>
      <c r="C42" s="288"/>
      <c r="D42" s="157"/>
      <c r="E42" s="157"/>
      <c r="F42" s="295">
        <f>SUM(F43:G44)</f>
        <v>4466.8658</v>
      </c>
      <c r="G42" s="291"/>
      <c r="H42" s="12"/>
      <c r="I42" s="12"/>
    </row>
    <row r="43" spans="1:9" s="7" customFormat="1" ht="15">
      <c r="A43" s="9" t="s">
        <v>16</v>
      </c>
      <c r="B43" s="131" t="s">
        <v>223</v>
      </c>
      <c r="C43" s="132"/>
      <c r="D43" s="158" t="s">
        <v>239</v>
      </c>
      <c r="E43" s="158">
        <v>200</v>
      </c>
      <c r="F43" s="294">
        <v>4104</v>
      </c>
      <c r="G43" s="294"/>
      <c r="H43" s="12"/>
      <c r="I43" s="12"/>
    </row>
    <row r="44" spans="1:7" ht="12.75" customHeight="1">
      <c r="A44" s="9" t="s">
        <v>18</v>
      </c>
      <c r="B44" s="131" t="s">
        <v>286</v>
      </c>
      <c r="C44" s="132"/>
      <c r="D44" s="158"/>
      <c r="E44" s="158"/>
      <c r="F44" s="294">
        <f>E27*1%</f>
        <v>362.86580000000004</v>
      </c>
      <c r="G44" s="294"/>
    </row>
    <row r="45" spans="1:9" ht="12.7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6" s="3" customFormat="1" ht="15">
      <c r="A46" s="3" t="s">
        <v>55</v>
      </c>
      <c r="C46" s="3" t="s">
        <v>49</v>
      </c>
      <c r="F46" s="3" t="s">
        <v>102</v>
      </c>
    </row>
    <row r="47" s="3" customFormat="1" ht="15">
      <c r="F47" s="4" t="s">
        <v>303</v>
      </c>
    </row>
    <row r="48" s="3" customFormat="1" ht="13.5" customHeight="1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="3" customFormat="1" ht="12" customHeight="1"/>
    <row r="51" s="3" customFormat="1" ht="15"/>
    <row r="52" s="3" customFormat="1" ht="15"/>
  </sheetData>
  <sheetProtection/>
  <mergeCells count="16">
    <mergeCell ref="B41:C41"/>
    <mergeCell ref="F41:G41"/>
    <mergeCell ref="B42:C42"/>
    <mergeCell ref="F44:G44"/>
    <mergeCell ref="A12:I12"/>
    <mergeCell ref="F42:G42"/>
    <mergeCell ref="A13:C13"/>
    <mergeCell ref="A34:C34"/>
    <mergeCell ref="A39:I39"/>
    <mergeCell ref="F43:G43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20" sqref="C20"/>
    </sheetView>
  </sheetViews>
  <sheetFormatPr defaultColWidth="9.140625" defaultRowHeight="15" outlineLevelCol="1"/>
  <cols>
    <col min="1" max="1" width="4.7109375" style="1" customWidth="1"/>
    <col min="2" max="2" width="42.8515625" style="1" customWidth="1"/>
    <col min="3" max="4" width="13.57421875" style="1" customWidth="1"/>
    <col min="5" max="5" width="12.140625" style="1" customWidth="1"/>
    <col min="6" max="6" width="12.710937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6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5.25" customHeight="1"/>
    <row r="7" spans="1:6" s="3" customFormat="1" ht="16.5" customHeight="1">
      <c r="A7" s="3" t="s">
        <v>2</v>
      </c>
      <c r="F7" s="4" t="s">
        <v>85</v>
      </c>
    </row>
    <row r="8" spans="1:6" s="3" customFormat="1" ht="15">
      <c r="A8" s="3" t="s">
        <v>3</v>
      </c>
      <c r="F8" s="4" t="s">
        <v>86</v>
      </c>
    </row>
    <row r="9" s="3" customFormat="1" ht="6.7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308</v>
      </c>
      <c r="B13" s="266"/>
      <c r="C13" s="266"/>
      <c r="D13" s="38">
        <v>1182.28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5572.86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-44412.41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8.43</v>
      </c>
      <c r="D19" s="146">
        <v>37611.24</v>
      </c>
      <c r="E19" s="146">
        <v>36964.25</v>
      </c>
      <c r="F19" s="146">
        <f>D19</f>
        <v>37611.24</v>
      </c>
      <c r="G19" s="147">
        <f aca="true" t="shared" si="0" ref="G19:G28">E19-D19</f>
        <v>-646.989999999998</v>
      </c>
      <c r="H19" s="71">
        <f>C19</f>
        <v>8.43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14366.333665480428</v>
      </c>
      <c r="E20" s="67">
        <f>E19*I20</f>
        <v>14119.203440094901</v>
      </c>
      <c r="F20" s="67">
        <f>D20</f>
        <v>14366.333665480428</v>
      </c>
      <c r="G20" s="68">
        <f t="shared" si="0"/>
        <v>-247.1302253855265</v>
      </c>
      <c r="H20" s="71">
        <f>C20</f>
        <v>3.22</v>
      </c>
      <c r="I20" s="15">
        <f>H20/H19</f>
        <v>0.38196915776986956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7049.319003558718</v>
      </c>
      <c r="E21" s="67">
        <f>E19*I21</f>
        <v>6928.056346381968</v>
      </c>
      <c r="F21" s="67">
        <f>D21</f>
        <v>7049.319003558718</v>
      </c>
      <c r="G21" s="68">
        <f t="shared" si="0"/>
        <v>-121.2626571767496</v>
      </c>
      <c r="H21" s="71">
        <f>C21</f>
        <v>1.5799999999999998</v>
      </c>
      <c r="I21" s="15">
        <f>H21/H19</f>
        <v>0.18742586002372477</v>
      </c>
    </row>
    <row r="22" spans="1:9" s="3" customFormat="1" ht="15">
      <c r="A22" s="8" t="s">
        <v>20</v>
      </c>
      <c r="B22" s="9" t="s">
        <v>21</v>
      </c>
      <c r="C22" s="139">
        <f>1.89-0.47-0.5</f>
        <v>0.9199999999999999</v>
      </c>
      <c r="D22" s="67">
        <f>D19*I22</f>
        <v>4104.666761565836</v>
      </c>
      <c r="E22" s="67">
        <f>E19*I22</f>
        <v>4034.0581257413996</v>
      </c>
      <c r="F22" s="67">
        <f>D22</f>
        <v>4104.666761565836</v>
      </c>
      <c r="G22" s="68">
        <f t="shared" si="0"/>
        <v>-70.60863582443653</v>
      </c>
      <c r="H22" s="71">
        <f>C22</f>
        <v>0.9199999999999999</v>
      </c>
      <c r="I22" s="15">
        <f>H22/H19</f>
        <v>0.10913404507710557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12090.920569395017</v>
      </c>
      <c r="E23" s="67">
        <f>E19*I23</f>
        <v>11882.932087781732</v>
      </c>
      <c r="F23" s="67">
        <f>D23</f>
        <v>12090.920569395017</v>
      </c>
      <c r="G23" s="68">
        <f t="shared" si="0"/>
        <v>-207.98848161328533</v>
      </c>
      <c r="H23" s="71">
        <f>C23</f>
        <v>2.71</v>
      </c>
      <c r="I23" s="15">
        <f>H23/H19</f>
        <v>0.32147093712930014</v>
      </c>
    </row>
    <row r="24" spans="1:7" ht="15">
      <c r="A24" s="129" t="s">
        <v>25</v>
      </c>
      <c r="B24" s="151" t="s">
        <v>167</v>
      </c>
      <c r="C24" s="175">
        <v>0</v>
      </c>
      <c r="D24" s="147">
        <v>0</v>
      </c>
      <c r="E24" s="147">
        <v>0</v>
      </c>
      <c r="F24" s="147">
        <v>0</v>
      </c>
      <c r="G24" s="147">
        <f>E24-D24</f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0</v>
      </c>
      <c r="F25" s="147">
        <f>D25</f>
        <v>0</v>
      </c>
      <c r="G25" s="147">
        <f t="shared" si="0"/>
        <v>0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>D26</f>
        <v>0</v>
      </c>
      <c r="G26" s="147">
        <f t="shared" si="0"/>
        <v>0</v>
      </c>
    </row>
    <row r="27" spans="1:7" ht="15">
      <c r="A27" s="129" t="s">
        <v>31</v>
      </c>
      <c r="B27" s="151" t="s">
        <v>131</v>
      </c>
      <c r="C27" s="175">
        <f>1.74-0.18</f>
        <v>1.56</v>
      </c>
      <c r="D27" s="147">
        <v>6960.24</v>
      </c>
      <c r="E27" s="147">
        <v>6840.51</v>
      </c>
      <c r="F27" s="153">
        <f>F42</f>
        <v>68.4051</v>
      </c>
      <c r="G27" s="147">
        <f t="shared" si="0"/>
        <v>-119.72999999999956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33829.96</v>
      </c>
      <c r="E29" s="147">
        <f>SUM(E30:E33)</f>
        <v>33313.78</v>
      </c>
      <c r="F29" s="147">
        <f>SUM(F30:F33)</f>
        <v>33829.96</v>
      </c>
      <c r="G29" s="147">
        <f>SUM(G30:G33)</f>
        <v>-516.1800000000003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1703.82</v>
      </c>
      <c r="E30" s="68">
        <v>1674.07</v>
      </c>
      <c r="F30" s="68">
        <f>D30</f>
        <v>1703.82</v>
      </c>
      <c r="G30" s="68">
        <f>E30-D30</f>
        <v>-29.75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32126.14</v>
      </c>
      <c r="E31" s="68">
        <v>31639.71</v>
      </c>
      <c r="F31" s="68">
        <f>D31</f>
        <v>32126.14</v>
      </c>
      <c r="G31" s="68">
        <f>E31-D31</f>
        <v>-486.4300000000003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>
        <v>0</v>
      </c>
      <c r="D33" s="68">
        <v>0</v>
      </c>
      <c r="E33" s="68">
        <v>0</v>
      </c>
      <c r="F33" s="68">
        <f>D33</f>
        <v>0</v>
      </c>
      <c r="G33" s="68">
        <f>E33-D33</f>
        <v>0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2465.1800000000003</v>
      </c>
      <c r="E34" s="39"/>
      <c r="F34" s="39"/>
      <c r="G34" s="39"/>
      <c r="H34" s="40"/>
      <c r="I34" s="40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5572.86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-37640.305100000005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4.7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4.5" customHeight="1"/>
    <row r="41" spans="1:9" ht="26.2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ht="15">
      <c r="A42" s="11" t="s">
        <v>47</v>
      </c>
      <c r="B42" s="287" t="s">
        <v>126</v>
      </c>
      <c r="C42" s="288"/>
      <c r="D42" s="157"/>
      <c r="E42" s="157"/>
      <c r="F42" s="295">
        <f>SUM(F43:G43)</f>
        <v>68.4051</v>
      </c>
      <c r="G42" s="291"/>
      <c r="H42" s="12"/>
      <c r="I42" s="12"/>
    </row>
    <row r="43" spans="1:9" s="7" customFormat="1" ht="15">
      <c r="A43" s="9" t="s">
        <v>16</v>
      </c>
      <c r="B43" s="131" t="s">
        <v>286</v>
      </c>
      <c r="C43" s="132"/>
      <c r="D43" s="158"/>
      <c r="E43" s="158"/>
      <c r="F43" s="318">
        <f>E27*1%</f>
        <v>68.4051</v>
      </c>
      <c r="G43" s="318"/>
      <c r="H43" s="1"/>
      <c r="I43" s="1"/>
    </row>
    <row r="44" spans="1:9" s="12" customFormat="1" ht="14.2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s="48" customFormat="1" ht="14.25" customHeight="1">
      <c r="A45" s="3" t="s">
        <v>55</v>
      </c>
      <c r="B45" s="3"/>
      <c r="C45" s="3" t="s">
        <v>49</v>
      </c>
      <c r="D45" s="3"/>
      <c r="E45" s="3"/>
      <c r="F45" s="3" t="s">
        <v>102</v>
      </c>
      <c r="G45" s="3"/>
      <c r="H45" s="3"/>
      <c r="I45" s="3"/>
    </row>
    <row r="46" spans="1:9" s="48" customFormat="1" ht="14.25" customHeight="1">
      <c r="A46" s="3"/>
      <c r="B46" s="3"/>
      <c r="C46" s="3"/>
      <c r="D46" s="3"/>
      <c r="E46" s="3"/>
      <c r="F46" s="4" t="s">
        <v>303</v>
      </c>
      <c r="G46" s="3"/>
      <c r="H46" s="3"/>
      <c r="I46" s="3"/>
    </row>
    <row r="47" spans="1:9" s="48" customFormat="1" ht="14.25" customHeight="1">
      <c r="A47" s="3" t="s">
        <v>50</v>
      </c>
      <c r="B47" s="3"/>
      <c r="C47" s="3"/>
      <c r="D47" s="3"/>
      <c r="E47" s="3"/>
      <c r="F47" s="3"/>
      <c r="G47" s="3"/>
      <c r="H47" s="3"/>
      <c r="I47" s="3"/>
    </row>
    <row r="48" spans="3:7" s="3" customFormat="1" ht="15">
      <c r="C48" s="14" t="s">
        <v>51</v>
      </c>
      <c r="E48" s="14"/>
      <c r="F48" s="14"/>
      <c r="G48" s="14"/>
    </row>
    <row r="49" s="3" customFormat="1" ht="15"/>
  </sheetData>
  <sheetProtection/>
  <mergeCells count="15">
    <mergeCell ref="A13:C13"/>
    <mergeCell ref="A12:I12"/>
    <mergeCell ref="A11:I11"/>
    <mergeCell ref="A1:I1"/>
    <mergeCell ref="A2:I2"/>
    <mergeCell ref="A5:I5"/>
    <mergeCell ref="A10:I10"/>
    <mergeCell ref="A3:K3"/>
    <mergeCell ref="F43:G43"/>
    <mergeCell ref="A34:C34"/>
    <mergeCell ref="A39:I39"/>
    <mergeCell ref="B41:C41"/>
    <mergeCell ref="F41:G41"/>
    <mergeCell ref="B42:C42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3" sqref="B23"/>
    </sheetView>
  </sheetViews>
  <sheetFormatPr defaultColWidth="9.140625" defaultRowHeight="15" outlineLevelCol="1"/>
  <cols>
    <col min="1" max="1" width="5.00390625" style="1" customWidth="1"/>
    <col min="2" max="2" width="47.28125" style="1" customWidth="1"/>
    <col min="3" max="3" width="13.57421875" style="1" customWidth="1"/>
    <col min="4" max="4" width="13.7109375" style="1" customWidth="1"/>
    <col min="5" max="5" width="13.57421875" style="1" customWidth="1"/>
    <col min="6" max="6" width="14.140625" style="1" customWidth="1"/>
    <col min="7" max="7" width="13.421875" style="1" customWidth="1"/>
    <col min="8" max="8" width="10.421875" style="1" hidden="1" customWidth="1" outlineLevel="1"/>
    <col min="9" max="9" width="12.2812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87</v>
      </c>
    </row>
    <row r="8" spans="1:6" s="3" customFormat="1" ht="15">
      <c r="A8" s="3" t="s">
        <v>3</v>
      </c>
      <c r="F8" s="4" t="s">
        <v>185</v>
      </c>
    </row>
    <row r="9" s="3" customFormat="1" ht="3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30545.85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38596.57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-355602.6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344755.56</v>
      </c>
      <c r="E19" s="146">
        <v>338272.86</v>
      </c>
      <c r="F19" s="146">
        <f aca="true" t="shared" si="0" ref="F19:F26">D19</f>
        <v>344755.56</v>
      </c>
      <c r="G19" s="147">
        <f aca="true" t="shared" si="1" ref="G19:G28">E19-D19</f>
        <v>-6482.700000000012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124312.7551175812</v>
      </c>
      <c r="E20" s="67">
        <f>E19*I20</f>
        <v>121975.20819708848</v>
      </c>
      <c r="F20" s="67">
        <f t="shared" si="0"/>
        <v>124312.7551175812</v>
      </c>
      <c r="G20" s="68">
        <f t="shared" si="1"/>
        <v>-2337.5469204927213</v>
      </c>
      <c r="H20" s="71">
        <f>C20</f>
        <v>3.22</v>
      </c>
      <c r="I20" s="15">
        <f>H20/H19</f>
        <v>0.3605823068309071</v>
      </c>
    </row>
    <row r="21" spans="1:9" s="3" customFormat="1" ht="15" customHeight="1">
      <c r="A21" s="8" t="s">
        <v>18</v>
      </c>
      <c r="B21" s="9" t="s">
        <v>19</v>
      </c>
      <c r="C21" s="139">
        <f>1.43+0.15</f>
        <v>1.5799999999999998</v>
      </c>
      <c r="D21" s="67">
        <f>D19*I21</f>
        <v>60998.18418812989</v>
      </c>
      <c r="E21" s="67">
        <f>E19*I21</f>
        <v>59851.189115341534</v>
      </c>
      <c r="F21" s="67">
        <f t="shared" si="0"/>
        <v>60998.18418812989</v>
      </c>
      <c r="G21" s="68">
        <f t="shared" si="1"/>
        <v>-1146.9950727883552</v>
      </c>
      <c r="H21" s="71">
        <f>C21</f>
        <v>1.5799999999999998</v>
      </c>
      <c r="I21" s="15">
        <f>H21/H19</f>
        <v>0.17693169092945127</v>
      </c>
    </row>
    <row r="22" spans="1:9" s="3" customFormat="1" ht="15" customHeight="1">
      <c r="A22" s="8" t="s">
        <v>20</v>
      </c>
      <c r="B22" s="9" t="s">
        <v>21</v>
      </c>
      <c r="C22" s="139">
        <f>1.89-0.47</f>
        <v>1.42</v>
      </c>
      <c r="D22" s="67">
        <f>D19*I22</f>
        <v>54821.15287793952</v>
      </c>
      <c r="E22" s="67">
        <f>E19*I22</f>
        <v>53790.3092049272</v>
      </c>
      <c r="F22" s="67">
        <f t="shared" si="0"/>
        <v>54821.15287793952</v>
      </c>
      <c r="G22" s="68">
        <f t="shared" si="1"/>
        <v>-1030.8436730123212</v>
      </c>
      <c r="H22" s="71">
        <f>C22</f>
        <v>1.42</v>
      </c>
      <c r="I22" s="15">
        <f>H22/H19</f>
        <v>0.15901455767077266</v>
      </c>
    </row>
    <row r="23" spans="1:9" s="3" customFormat="1" ht="15" customHeight="1">
      <c r="A23" s="8" t="s">
        <v>22</v>
      </c>
      <c r="B23" s="9" t="s">
        <v>23</v>
      </c>
      <c r="C23" s="139">
        <v>2.71</v>
      </c>
      <c r="D23" s="67">
        <f>D19*I23</f>
        <v>104623.46781634938</v>
      </c>
      <c r="E23" s="67">
        <f>E19*I23</f>
        <v>102656.15348264278</v>
      </c>
      <c r="F23" s="67">
        <f t="shared" si="0"/>
        <v>104623.46781634938</v>
      </c>
      <c r="G23" s="68">
        <f t="shared" si="1"/>
        <v>-1967.3143337065994</v>
      </c>
      <c r="H23" s="71">
        <f>C23</f>
        <v>2.71</v>
      </c>
      <c r="I23" s="15">
        <f>H23/H19</f>
        <v>0.303471444568869</v>
      </c>
    </row>
    <row r="24" spans="1:7" ht="15" customHeight="1">
      <c r="A24" s="129" t="s">
        <v>25</v>
      </c>
      <c r="B24" s="151" t="s">
        <v>714</v>
      </c>
      <c r="C24" s="198">
        <v>130</v>
      </c>
      <c r="D24" s="147">
        <v>28080</v>
      </c>
      <c r="E24" s="147">
        <v>28323.01</v>
      </c>
      <c r="F24" s="147">
        <f>D24</f>
        <v>28080</v>
      </c>
      <c r="G24" s="147">
        <f>E24-D24</f>
        <v>243.0099999999984</v>
      </c>
    </row>
    <row r="25" spans="1:7" ht="15" customHeight="1">
      <c r="A25" s="129" t="s">
        <v>27</v>
      </c>
      <c r="B25" s="151" t="s">
        <v>28</v>
      </c>
      <c r="C25" s="175">
        <v>0</v>
      </c>
      <c r="D25" s="147">
        <v>0</v>
      </c>
      <c r="E25" s="147">
        <v>2380.15</v>
      </c>
      <c r="F25" s="147">
        <f t="shared" si="0"/>
        <v>0</v>
      </c>
      <c r="G25" s="147">
        <f t="shared" si="1"/>
        <v>2380.15</v>
      </c>
    </row>
    <row r="26" spans="1:7" ht="15" customHeight="1">
      <c r="A26" s="129" t="s">
        <v>29</v>
      </c>
      <c r="B26" s="151" t="s">
        <v>230</v>
      </c>
      <c r="C26" s="152">
        <v>1832.48</v>
      </c>
      <c r="D26" s="147">
        <v>12951.34</v>
      </c>
      <c r="E26" s="147">
        <v>13014.07</v>
      </c>
      <c r="F26" s="147">
        <f t="shared" si="0"/>
        <v>12951.34</v>
      </c>
      <c r="G26" s="147">
        <f t="shared" si="1"/>
        <v>62.72999999999956</v>
      </c>
    </row>
    <row r="27" spans="1:13" ht="15" customHeight="1">
      <c r="A27" s="129" t="s">
        <v>31</v>
      </c>
      <c r="B27" s="151" t="s">
        <v>131</v>
      </c>
      <c r="C27" s="175">
        <v>1.74</v>
      </c>
      <c r="D27" s="147">
        <v>67175.52</v>
      </c>
      <c r="E27" s="147">
        <v>66132.29</v>
      </c>
      <c r="F27" s="153">
        <f>F42</f>
        <v>28256.512899999998</v>
      </c>
      <c r="G27" s="147">
        <f t="shared" si="1"/>
        <v>-1043.2300000000105</v>
      </c>
      <c r="M27" s="77"/>
    </row>
    <row r="28" spans="1:7" ht="15" customHeight="1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 customHeight="1">
      <c r="A29" s="129" t="s">
        <v>35</v>
      </c>
      <c r="B29" s="36" t="s">
        <v>36</v>
      </c>
      <c r="C29" s="175"/>
      <c r="D29" s="147">
        <f>SUM(D30:D33)</f>
        <v>1292323.03</v>
      </c>
      <c r="E29" s="147">
        <f>SUM(E30:E33)</f>
        <v>1307967.52</v>
      </c>
      <c r="F29" s="147">
        <f>SUM(F30:F33)</f>
        <v>1292323.03</v>
      </c>
      <c r="G29" s="147">
        <f>SUM(G30:G33)</f>
        <v>15644.489999999954</v>
      </c>
    </row>
    <row r="30" spans="1:7" ht="15" customHeight="1">
      <c r="A30" s="9" t="s">
        <v>37</v>
      </c>
      <c r="B30" s="9" t="s">
        <v>235</v>
      </c>
      <c r="C30" s="134" t="s">
        <v>315</v>
      </c>
      <c r="D30" s="68">
        <v>34768</v>
      </c>
      <c r="E30" s="68">
        <v>34730.98</v>
      </c>
      <c r="F30" s="68">
        <f>D30</f>
        <v>34768</v>
      </c>
      <c r="G30" s="68">
        <f>E30-D30</f>
        <v>-37.0199999999968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472288.64</v>
      </c>
      <c r="E31" s="68">
        <v>478809.04</v>
      </c>
      <c r="F31" s="68">
        <f>D31</f>
        <v>472288.64</v>
      </c>
      <c r="G31" s="68">
        <f>E31-D31</f>
        <v>6520.399999999965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785266.39</v>
      </c>
      <c r="E33" s="68">
        <v>794427.5</v>
      </c>
      <c r="F33" s="68">
        <f>D33</f>
        <v>785266.39</v>
      </c>
      <c r="G33" s="68">
        <f>E33-D33</f>
        <v>9161.109999999986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19741.399999999907</v>
      </c>
      <c r="E34" s="39"/>
      <c r="F34" s="39"/>
      <c r="G34" s="39"/>
      <c r="H34" s="40"/>
      <c r="I34" s="40"/>
      <c r="J34" s="22"/>
    </row>
    <row r="35" spans="1:9" s="15" customFormat="1" ht="10.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38596.57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-317726.82289999997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5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24.75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SUM(F43:G47)</f>
        <v>28256.512899999998</v>
      </c>
      <c r="G42" s="291"/>
      <c r="H42" s="12"/>
      <c r="I42" s="12"/>
    </row>
    <row r="43" spans="1:9" s="187" customFormat="1" ht="15">
      <c r="A43" s="188" t="s">
        <v>16</v>
      </c>
      <c r="B43" s="275" t="s">
        <v>430</v>
      </c>
      <c r="C43" s="276"/>
      <c r="D43" s="184"/>
      <c r="E43" s="184"/>
      <c r="F43" s="319">
        <v>4588</v>
      </c>
      <c r="G43" s="320"/>
      <c r="H43" s="186"/>
      <c r="I43" s="186"/>
    </row>
    <row r="44" spans="1:9" s="187" customFormat="1" ht="15">
      <c r="A44" s="188" t="s">
        <v>18</v>
      </c>
      <c r="B44" s="275" t="s">
        <v>483</v>
      </c>
      <c r="C44" s="276"/>
      <c r="D44" s="184" t="s">
        <v>234</v>
      </c>
      <c r="E44" s="184">
        <v>1</v>
      </c>
      <c r="F44" s="319">
        <v>1759.14</v>
      </c>
      <c r="G44" s="320"/>
      <c r="H44" s="186"/>
      <c r="I44" s="186"/>
    </row>
    <row r="45" spans="1:9" s="187" customFormat="1" ht="15">
      <c r="A45" s="188" t="s">
        <v>20</v>
      </c>
      <c r="B45" s="275" t="s">
        <v>484</v>
      </c>
      <c r="C45" s="276"/>
      <c r="D45" s="184"/>
      <c r="E45" s="184"/>
      <c r="F45" s="319">
        <v>12000</v>
      </c>
      <c r="G45" s="320"/>
      <c r="H45" s="186"/>
      <c r="I45" s="186"/>
    </row>
    <row r="46" spans="1:9" s="187" customFormat="1" ht="15">
      <c r="A46" s="257" t="s">
        <v>22</v>
      </c>
      <c r="B46" s="275" t="s">
        <v>720</v>
      </c>
      <c r="C46" s="276"/>
      <c r="D46" s="184"/>
      <c r="E46" s="184"/>
      <c r="F46" s="319">
        <v>9248.05</v>
      </c>
      <c r="G46" s="320"/>
      <c r="H46" s="186"/>
      <c r="I46" s="186"/>
    </row>
    <row r="47" spans="1:9" s="12" customFormat="1" ht="13.5" customHeight="1">
      <c r="A47" s="28" t="s">
        <v>24</v>
      </c>
      <c r="B47" s="131" t="s">
        <v>286</v>
      </c>
      <c r="C47" s="132"/>
      <c r="D47" s="158"/>
      <c r="E47" s="158"/>
      <c r="F47" s="321">
        <f>E27*1%</f>
        <v>661.3229</v>
      </c>
      <c r="G47" s="322"/>
      <c r="H47" s="1"/>
      <c r="I47" s="1"/>
    </row>
    <row r="48" spans="1:9" ht="13.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3.5" customHeight="1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  <c r="H49" s="3"/>
      <c r="I49" s="3"/>
    </row>
    <row r="50" spans="1:9" ht="13.5" customHeight="1">
      <c r="A50" s="3"/>
      <c r="B50" s="3"/>
      <c r="C50" s="3"/>
      <c r="D50" s="3"/>
      <c r="E50" s="3"/>
      <c r="F50" s="4" t="s">
        <v>303</v>
      </c>
      <c r="G50" s="3"/>
      <c r="H50" s="3"/>
      <c r="I50" s="3"/>
    </row>
    <row r="51" spans="1:9" ht="13.5" customHeight="1">
      <c r="A51" s="3" t="s">
        <v>50</v>
      </c>
      <c r="B51" s="3"/>
      <c r="C51" s="3"/>
      <c r="D51" s="3"/>
      <c r="E51" s="3"/>
      <c r="F51" s="3"/>
      <c r="G51" s="3"/>
      <c r="H51" s="3"/>
      <c r="I51" s="3"/>
    </row>
    <row r="52" spans="1:9" ht="13.5" customHeight="1">
      <c r="A52" s="3"/>
      <c r="B52" s="3"/>
      <c r="C52" s="14" t="s">
        <v>51</v>
      </c>
      <c r="D52" s="3"/>
      <c r="E52" s="14"/>
      <c r="F52" s="14"/>
      <c r="G52" s="14"/>
      <c r="H52" s="3"/>
      <c r="I52" s="3"/>
    </row>
  </sheetData>
  <sheetProtection/>
  <mergeCells count="23">
    <mergeCell ref="B46:C46"/>
    <mergeCell ref="F46:G46"/>
    <mergeCell ref="B45:C45"/>
    <mergeCell ref="F47:G47"/>
    <mergeCell ref="B42:C42"/>
    <mergeCell ref="A11:I11"/>
    <mergeCell ref="A12:I12"/>
    <mergeCell ref="A13:C13"/>
    <mergeCell ref="F42:G42"/>
    <mergeCell ref="F45:G45"/>
    <mergeCell ref="F41:G41"/>
    <mergeCell ref="B43:C43"/>
    <mergeCell ref="F43:G43"/>
    <mergeCell ref="A1:I1"/>
    <mergeCell ref="A2:I2"/>
    <mergeCell ref="A5:I5"/>
    <mergeCell ref="A10:I10"/>
    <mergeCell ref="A3:K3"/>
    <mergeCell ref="F44:G44"/>
    <mergeCell ref="A34:C34"/>
    <mergeCell ref="A39:I39"/>
    <mergeCell ref="B41:C41"/>
    <mergeCell ref="B44:C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8.421875" style="1" customWidth="1"/>
    <col min="3" max="3" width="13.140625" style="1" customWidth="1"/>
    <col min="4" max="4" width="14.00390625" style="1" customWidth="1"/>
    <col min="5" max="5" width="13.7109375" style="1" customWidth="1"/>
    <col min="6" max="6" width="12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88</v>
      </c>
    </row>
    <row r="8" spans="1:6" s="3" customFormat="1" ht="15">
      <c r="A8" s="3" t="s">
        <v>3</v>
      </c>
      <c r="F8" s="4" t="s">
        <v>186</v>
      </c>
    </row>
    <row r="9" s="3" customFormat="1" ht="4.5" customHeight="1"/>
    <row r="10" spans="1:9" s="3" customFormat="1" ht="14.25" customHeight="1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4.25" customHeight="1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10204.74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21917.31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-41215.88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9.350000000000001</v>
      </c>
      <c r="D19" s="146">
        <v>313590.41</v>
      </c>
      <c r="E19" s="146">
        <v>311290.18</v>
      </c>
      <c r="F19" s="146">
        <f>D19</f>
        <v>313590.41</v>
      </c>
      <c r="G19" s="147">
        <f aca="true" t="shared" si="0" ref="G19:G28">E19-D19</f>
        <v>-2300.2299999999814</v>
      </c>
      <c r="H19" s="71">
        <f>C19</f>
        <v>9.350000000000001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107995.8417326203</v>
      </c>
      <c r="E20" s="67">
        <f>E19*I20</f>
        <v>107203.67696256684</v>
      </c>
      <c r="F20" s="67">
        <f>D20</f>
        <v>107995.8417326203</v>
      </c>
      <c r="G20" s="68">
        <f t="shared" si="0"/>
        <v>-792.1647700534668</v>
      </c>
      <c r="H20" s="71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51314.79436363635</v>
      </c>
      <c r="E21" s="67">
        <f>E19*I21</f>
        <v>50938.39309090908</v>
      </c>
      <c r="F21" s="67">
        <f>D21</f>
        <v>51314.79436363635</v>
      </c>
      <c r="G21" s="68">
        <f t="shared" si="0"/>
        <v>-376.40127272727113</v>
      </c>
      <c r="H21" s="71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63388.86362566844</v>
      </c>
      <c r="E22" s="67">
        <f>E19*I22</f>
        <v>62923.89734759358</v>
      </c>
      <c r="F22" s="67">
        <f>D22</f>
        <v>63388.86362566844</v>
      </c>
      <c r="G22" s="68">
        <f t="shared" si="0"/>
        <v>-464.9662780748622</v>
      </c>
      <c r="H22" s="71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90890.91027807485</v>
      </c>
      <c r="E23" s="67">
        <f>E19*I23</f>
        <v>90224.21259893046</v>
      </c>
      <c r="F23" s="67">
        <f>D23</f>
        <v>90890.91027807485</v>
      </c>
      <c r="G23" s="68">
        <f t="shared" si="0"/>
        <v>-666.6976791443885</v>
      </c>
      <c r="H23" s="71">
        <f>C23</f>
        <v>2.71</v>
      </c>
      <c r="I23" s="15">
        <f>H23/H19</f>
        <v>0.28983957219251333</v>
      </c>
    </row>
    <row r="24" spans="1:7" ht="15">
      <c r="A24" s="129" t="s">
        <v>25</v>
      </c>
      <c r="B24" s="151" t="s">
        <v>241</v>
      </c>
      <c r="C24" s="152">
        <v>0</v>
      </c>
      <c r="D24" s="147">
        <v>0</v>
      </c>
      <c r="E24" s="147">
        <v>0</v>
      </c>
      <c r="F24" s="147">
        <v>0</v>
      </c>
      <c r="G24" s="147">
        <f>E24-D24</f>
        <v>0</v>
      </c>
    </row>
    <row r="25" spans="1:7" ht="15">
      <c r="A25" s="129" t="s">
        <v>27</v>
      </c>
      <c r="B25" s="151" t="s">
        <v>28</v>
      </c>
      <c r="C25" s="152">
        <v>0</v>
      </c>
      <c r="D25" s="147">
        <v>0</v>
      </c>
      <c r="E25" s="147">
        <v>2220.8</v>
      </c>
      <c r="F25" s="147">
        <f>D25</f>
        <v>0</v>
      </c>
      <c r="G25" s="147">
        <f t="shared" si="0"/>
        <v>2220.8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>D26</f>
        <v>0</v>
      </c>
      <c r="G26" s="147">
        <f t="shared" si="0"/>
        <v>0</v>
      </c>
    </row>
    <row r="27" spans="1:13" ht="15">
      <c r="A27" s="129" t="s">
        <v>31</v>
      </c>
      <c r="B27" s="151" t="s">
        <v>131</v>
      </c>
      <c r="C27" s="152">
        <v>1.92</v>
      </c>
      <c r="D27" s="147">
        <v>64394.58</v>
      </c>
      <c r="E27" s="147">
        <v>64162.09</v>
      </c>
      <c r="F27" s="153">
        <f>F42</f>
        <v>140695.3709</v>
      </c>
      <c r="G27" s="147">
        <f t="shared" si="0"/>
        <v>-232.49000000000524</v>
      </c>
      <c r="M27" s="77"/>
    </row>
    <row r="28" spans="1:7" ht="15">
      <c r="A28" s="129" t="s">
        <v>33</v>
      </c>
      <c r="B28" s="36" t="s">
        <v>34</v>
      </c>
      <c r="C28" s="145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45"/>
      <c r="D29" s="147">
        <f>SUM(D30:D33)</f>
        <v>1549247.92</v>
      </c>
      <c r="E29" s="147">
        <f>SUM(E30:E33)</f>
        <v>1544941.85</v>
      </c>
      <c r="F29" s="147">
        <f>SUM(F30:F33)</f>
        <v>1549247.92</v>
      </c>
      <c r="G29" s="147">
        <f>SUM(G30:G33)</f>
        <v>-4306.070000000062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22501.24</v>
      </c>
      <c r="E30" s="68">
        <v>22572.33</v>
      </c>
      <c r="F30" s="68">
        <f>D30</f>
        <v>22501.24</v>
      </c>
      <c r="G30" s="68">
        <f>E30-D30</f>
        <v>71.09000000000015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225120.12</v>
      </c>
      <c r="E31" s="68">
        <v>219213.16</v>
      </c>
      <c r="F31" s="68">
        <f>D31</f>
        <v>225120.12</v>
      </c>
      <c r="G31" s="68">
        <f>E31-D31</f>
        <v>-5906.959999999992</v>
      </c>
    </row>
    <row r="32" spans="1:9" s="97" customFormat="1" ht="15">
      <c r="A32" s="9" t="s">
        <v>42</v>
      </c>
      <c r="B32" s="9" t="s">
        <v>40</v>
      </c>
      <c r="C32" s="182" t="s">
        <v>346</v>
      </c>
      <c r="D32" s="68">
        <v>278149.89</v>
      </c>
      <c r="E32" s="68">
        <v>279198.53</v>
      </c>
      <c r="F32" s="68">
        <f>D32</f>
        <v>278149.89</v>
      </c>
      <c r="G32" s="68">
        <f>E32-D32</f>
        <v>1048.640000000014</v>
      </c>
      <c r="H32" s="1"/>
      <c r="I32" s="1"/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1023476.67</v>
      </c>
      <c r="E33" s="68">
        <v>1023957.83</v>
      </c>
      <c r="F33" s="68">
        <f>D33</f>
        <v>1023476.67</v>
      </c>
      <c r="G33" s="68">
        <f>E33-D33</f>
        <v>481.1599999999162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14822.729999999749</v>
      </c>
      <c r="E34" s="39"/>
      <c r="F34" s="39"/>
      <c r="G34" s="39"/>
      <c r="H34" s="40"/>
      <c r="I34" s="40"/>
      <c r="J34" s="22"/>
    </row>
    <row r="35" spans="1:9" s="15" customFormat="1" ht="9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21917.31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-117749.16090000002</v>
      </c>
      <c r="H37" s="40"/>
      <c r="I37" s="40"/>
    </row>
    <row r="38" spans="1:9" s="15" customFormat="1" ht="9.75" customHeight="1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8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SUM(F43:L48)</f>
        <v>140695.3709</v>
      </c>
      <c r="G42" s="291"/>
      <c r="H42" s="12"/>
      <c r="I42" s="12"/>
    </row>
    <row r="43" spans="1:9" s="189" customFormat="1" ht="15">
      <c r="A43" s="28" t="s">
        <v>16</v>
      </c>
      <c r="B43" s="275" t="s">
        <v>448</v>
      </c>
      <c r="C43" s="276"/>
      <c r="D43" s="184"/>
      <c r="E43" s="184"/>
      <c r="F43" s="319">
        <v>30000</v>
      </c>
      <c r="G43" s="323"/>
      <c r="H43" s="1"/>
      <c r="I43" s="1"/>
    </row>
    <row r="44" spans="1:9" s="189" customFormat="1" ht="15">
      <c r="A44" s="28" t="s">
        <v>18</v>
      </c>
      <c r="B44" s="275" t="s">
        <v>436</v>
      </c>
      <c r="C44" s="276"/>
      <c r="D44" s="184" t="s">
        <v>410</v>
      </c>
      <c r="E44" s="184">
        <v>0.12</v>
      </c>
      <c r="F44" s="319">
        <v>5360.7</v>
      </c>
      <c r="G44" s="323"/>
      <c r="H44" s="1"/>
      <c r="I44" s="1"/>
    </row>
    <row r="45" spans="1:9" s="189" customFormat="1" ht="15">
      <c r="A45" s="28" t="s">
        <v>20</v>
      </c>
      <c r="B45" s="275" t="s">
        <v>223</v>
      </c>
      <c r="C45" s="276"/>
      <c r="D45" s="184" t="s">
        <v>239</v>
      </c>
      <c r="E45" s="184">
        <v>700</v>
      </c>
      <c r="F45" s="319">
        <v>7182</v>
      </c>
      <c r="G45" s="323"/>
      <c r="H45" s="1"/>
      <c r="I45" s="1"/>
    </row>
    <row r="46" spans="1:9" s="189" customFormat="1" ht="15">
      <c r="A46" s="28" t="s">
        <v>22</v>
      </c>
      <c r="B46" s="275" t="s">
        <v>446</v>
      </c>
      <c r="C46" s="276"/>
      <c r="D46" s="184" t="s">
        <v>234</v>
      </c>
      <c r="E46" s="184">
        <v>1</v>
      </c>
      <c r="F46" s="319">
        <v>1500</v>
      </c>
      <c r="G46" s="323"/>
      <c r="H46" s="1"/>
      <c r="I46" s="1"/>
    </row>
    <row r="47" spans="1:9" s="189" customFormat="1" ht="15">
      <c r="A47" s="28" t="s">
        <v>24</v>
      </c>
      <c r="B47" s="275" t="s">
        <v>447</v>
      </c>
      <c r="C47" s="276"/>
      <c r="D47" s="184" t="s">
        <v>238</v>
      </c>
      <c r="E47" s="184">
        <v>2</v>
      </c>
      <c r="F47" s="319">
        <v>96011.05</v>
      </c>
      <c r="G47" s="323"/>
      <c r="H47" s="1"/>
      <c r="I47" s="1"/>
    </row>
    <row r="48" spans="1:9" s="12" customFormat="1" ht="15">
      <c r="A48" s="28" t="s">
        <v>116</v>
      </c>
      <c r="B48" s="131" t="s">
        <v>286</v>
      </c>
      <c r="C48" s="132"/>
      <c r="D48" s="158"/>
      <c r="E48" s="158"/>
      <c r="F48" s="318">
        <f>E27*1%</f>
        <v>641.6209</v>
      </c>
      <c r="G48" s="318"/>
      <c r="H48" s="1"/>
      <c r="I48" s="1"/>
    </row>
    <row r="49" spans="1:9" ht="12.7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s="48" customFormat="1" ht="12.75" customHeight="1">
      <c r="A50" s="3" t="s">
        <v>55</v>
      </c>
      <c r="B50" s="3"/>
      <c r="C50" s="3" t="s">
        <v>49</v>
      </c>
      <c r="D50" s="3"/>
      <c r="E50" s="3"/>
      <c r="F50" s="3" t="s">
        <v>102</v>
      </c>
      <c r="G50" s="3"/>
      <c r="H50" s="3"/>
      <c r="I50" s="3"/>
    </row>
    <row r="51" spans="1:9" s="48" customFormat="1" ht="12.75" customHeight="1">
      <c r="A51" s="3"/>
      <c r="B51" s="3"/>
      <c r="C51" s="3"/>
      <c r="D51" s="3"/>
      <c r="E51" s="3"/>
      <c r="F51" s="4" t="s">
        <v>303</v>
      </c>
      <c r="G51" s="3"/>
      <c r="H51" s="3"/>
      <c r="I51" s="3"/>
    </row>
    <row r="52" spans="1:9" s="48" customFormat="1" ht="12.75" customHeight="1">
      <c r="A52" s="3" t="s">
        <v>50</v>
      </c>
      <c r="B52" s="3"/>
      <c r="C52" s="3"/>
      <c r="D52" s="3"/>
      <c r="E52" s="3"/>
      <c r="F52" s="3"/>
      <c r="G52" s="3"/>
      <c r="H52" s="3"/>
      <c r="I52" s="3"/>
    </row>
    <row r="53" spans="1:9" s="48" customFormat="1" ht="12.75" customHeight="1">
      <c r="A53" s="3"/>
      <c r="B53" s="3"/>
      <c r="C53" s="14" t="s">
        <v>51</v>
      </c>
      <c r="D53" s="3"/>
      <c r="E53" s="14"/>
      <c r="F53" s="14"/>
      <c r="G53" s="14"/>
      <c r="H53" s="3"/>
      <c r="I53" s="3"/>
    </row>
  </sheetData>
  <sheetProtection/>
  <mergeCells count="25">
    <mergeCell ref="B45:C45"/>
    <mergeCell ref="F45:G45"/>
    <mergeCell ref="B46:C46"/>
    <mergeCell ref="F46:G46"/>
    <mergeCell ref="B47:C47"/>
    <mergeCell ref="F47:G47"/>
    <mergeCell ref="B43:C43"/>
    <mergeCell ref="B44:C44"/>
    <mergeCell ref="F43:G43"/>
    <mergeCell ref="F44:G44"/>
    <mergeCell ref="A1:I1"/>
    <mergeCell ref="A2:I2"/>
    <mergeCell ref="A5:I5"/>
    <mergeCell ref="A10:I10"/>
    <mergeCell ref="A3:K3"/>
    <mergeCell ref="F48:G48"/>
    <mergeCell ref="A11:I11"/>
    <mergeCell ref="A12:I12"/>
    <mergeCell ref="F42:G42"/>
    <mergeCell ref="A13:C13"/>
    <mergeCell ref="A34:C34"/>
    <mergeCell ref="A39:I39"/>
    <mergeCell ref="B41:C41"/>
    <mergeCell ref="F41:G41"/>
    <mergeCell ref="B42:C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5.57421875" style="1" customWidth="1"/>
    <col min="2" max="2" width="51.00390625" style="1" customWidth="1"/>
    <col min="3" max="3" width="13.00390625" style="1" customWidth="1"/>
    <col min="4" max="4" width="12.8515625" style="1" customWidth="1"/>
    <col min="5" max="5" width="12.7109375" style="1" customWidth="1"/>
    <col min="6" max="6" width="14.0039062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" customHeight="1"/>
    <row r="7" spans="1:6" s="3" customFormat="1" ht="16.5" customHeight="1">
      <c r="A7" s="3" t="s">
        <v>2</v>
      </c>
      <c r="F7" s="4" t="s">
        <v>89</v>
      </c>
    </row>
    <row r="8" spans="1:6" s="3" customFormat="1" ht="15">
      <c r="A8" s="3" t="s">
        <v>3</v>
      </c>
      <c r="F8" s="4" t="s">
        <v>90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146106.77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18944.86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-198940.79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.75" customHeight="1">
      <c r="A19" s="163" t="s">
        <v>14</v>
      </c>
      <c r="B19" s="129" t="s">
        <v>15</v>
      </c>
      <c r="C19" s="145">
        <f>C20+C21+C22+C23</f>
        <v>8.93</v>
      </c>
      <c r="D19" s="146">
        <v>302309.4</v>
      </c>
      <c r="E19" s="146">
        <v>293850.23</v>
      </c>
      <c r="F19" s="146">
        <f aca="true" t="shared" si="0" ref="F19:F26">D19</f>
        <v>302309.4</v>
      </c>
      <c r="G19" s="147">
        <f aca="true" t="shared" si="1" ref="G19:G28">E19-D19</f>
        <v>-8459.170000000042</v>
      </c>
      <c r="H19" s="71">
        <f>C19</f>
        <v>8.93</v>
      </c>
      <c r="I19" s="15"/>
    </row>
    <row r="20" spans="1:9" s="3" customFormat="1" ht="15.75" customHeight="1">
      <c r="A20" s="8" t="s">
        <v>16</v>
      </c>
      <c r="B20" s="9" t="s">
        <v>17</v>
      </c>
      <c r="C20" s="139">
        <v>3.22</v>
      </c>
      <c r="D20" s="67">
        <f>D19*I20</f>
        <v>109007.42082866743</v>
      </c>
      <c r="E20" s="67">
        <f>E19*I20</f>
        <v>105957.19379619262</v>
      </c>
      <c r="F20" s="67">
        <f t="shared" si="0"/>
        <v>109007.42082866743</v>
      </c>
      <c r="G20" s="68">
        <f t="shared" si="1"/>
        <v>-3050.2270324748097</v>
      </c>
      <c r="H20" s="71">
        <f>C20</f>
        <v>3.22</v>
      </c>
      <c r="I20" s="15">
        <f>H20/H19</f>
        <v>0.3605823068309071</v>
      </c>
    </row>
    <row r="21" spans="1:9" s="3" customFormat="1" ht="15.75" customHeight="1">
      <c r="A21" s="8" t="s">
        <v>18</v>
      </c>
      <c r="B21" s="9" t="s">
        <v>19</v>
      </c>
      <c r="C21" s="139">
        <f>1.43+0.15</f>
        <v>1.5799999999999998</v>
      </c>
      <c r="D21" s="67">
        <f>D19*I21</f>
        <v>53488.11332586786</v>
      </c>
      <c r="E21" s="67">
        <f>E19*I21</f>
        <v>51991.418073908164</v>
      </c>
      <c r="F21" s="67">
        <f t="shared" si="0"/>
        <v>53488.11332586786</v>
      </c>
      <c r="G21" s="68">
        <f t="shared" si="1"/>
        <v>-1496.6952519596962</v>
      </c>
      <c r="H21" s="71">
        <f>C21</f>
        <v>1.5799999999999998</v>
      </c>
      <c r="I21" s="15">
        <f>H21/H19</f>
        <v>0.17693169092945127</v>
      </c>
    </row>
    <row r="22" spans="1:9" s="3" customFormat="1" ht="15.75" customHeight="1">
      <c r="A22" s="8" t="s">
        <v>20</v>
      </c>
      <c r="B22" s="9" t="s">
        <v>21</v>
      </c>
      <c r="C22" s="139">
        <f>1.89-0.47</f>
        <v>1.42</v>
      </c>
      <c r="D22" s="67">
        <f>D19*I22</f>
        <v>48071.595520716684</v>
      </c>
      <c r="E22" s="67">
        <f>E19*I22</f>
        <v>46726.46434490481</v>
      </c>
      <c r="F22" s="67">
        <f t="shared" si="0"/>
        <v>48071.595520716684</v>
      </c>
      <c r="G22" s="68">
        <f t="shared" si="1"/>
        <v>-1345.1311758118754</v>
      </c>
      <c r="H22" s="71">
        <f>C22</f>
        <v>1.42</v>
      </c>
      <c r="I22" s="15">
        <f>H22/H19</f>
        <v>0.15901455767077266</v>
      </c>
    </row>
    <row r="23" spans="1:9" s="3" customFormat="1" ht="15.75" customHeight="1">
      <c r="A23" s="8" t="s">
        <v>22</v>
      </c>
      <c r="B23" s="9" t="s">
        <v>23</v>
      </c>
      <c r="C23" s="139">
        <v>2.71</v>
      </c>
      <c r="D23" s="67">
        <f>D19*I23</f>
        <v>91742.27032474805</v>
      </c>
      <c r="E23" s="67">
        <f>E19*I23</f>
        <v>89175.1537849944</v>
      </c>
      <c r="F23" s="67">
        <f t="shared" si="0"/>
        <v>91742.27032474805</v>
      </c>
      <c r="G23" s="68">
        <f t="shared" si="1"/>
        <v>-2567.1165397536533</v>
      </c>
      <c r="H23" s="71">
        <f>C23</f>
        <v>2.71</v>
      </c>
      <c r="I23" s="15">
        <f>H23/H19</f>
        <v>0.303471444568869</v>
      </c>
    </row>
    <row r="24" spans="1:7" ht="15.75" customHeight="1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.75" customHeight="1">
      <c r="A25" s="129" t="s">
        <v>27</v>
      </c>
      <c r="B25" s="151" t="s">
        <v>28</v>
      </c>
      <c r="C25" s="175">
        <v>0</v>
      </c>
      <c r="D25" s="147">
        <v>0</v>
      </c>
      <c r="E25" s="147">
        <v>7711.11</v>
      </c>
      <c r="F25" s="147">
        <f t="shared" si="0"/>
        <v>0</v>
      </c>
      <c r="G25" s="147">
        <f t="shared" si="1"/>
        <v>7711.11</v>
      </c>
    </row>
    <row r="26" spans="1:7" ht="15.75" customHeight="1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13" ht="15.75" customHeight="1">
      <c r="A27" s="129" t="s">
        <v>31</v>
      </c>
      <c r="B27" s="151" t="s">
        <v>131</v>
      </c>
      <c r="C27" s="175">
        <v>1.74</v>
      </c>
      <c r="D27" s="147">
        <v>58905</v>
      </c>
      <c r="E27" s="147">
        <v>57549.55</v>
      </c>
      <c r="F27" s="153">
        <f>F42</f>
        <v>135020.2155</v>
      </c>
      <c r="G27" s="147">
        <f t="shared" si="1"/>
        <v>-1355.449999999997</v>
      </c>
      <c r="M27" s="77"/>
    </row>
    <row r="28" spans="1:7" ht="15.75" customHeight="1">
      <c r="A28" s="129" t="s">
        <v>33</v>
      </c>
      <c r="B28" s="36" t="s">
        <v>34</v>
      </c>
      <c r="C28" s="198">
        <v>0</v>
      </c>
      <c r="D28" s="147">
        <v>0</v>
      </c>
      <c r="E28" s="147">
        <v>3126.91</v>
      </c>
      <c r="F28" s="153">
        <v>0</v>
      </c>
      <c r="G28" s="147">
        <f t="shared" si="1"/>
        <v>3126.91</v>
      </c>
    </row>
    <row r="29" spans="1:7" ht="15.75" customHeight="1">
      <c r="A29" s="129" t="s">
        <v>35</v>
      </c>
      <c r="B29" s="36" t="s">
        <v>36</v>
      </c>
      <c r="C29" s="175"/>
      <c r="D29" s="147">
        <f>SUM(D30:D33)</f>
        <v>1269927.73</v>
      </c>
      <c r="E29" s="147">
        <f>SUM(E30:E33)</f>
        <v>1255350.51</v>
      </c>
      <c r="F29" s="147">
        <f>SUM(F30:F33)</f>
        <v>1269927.73</v>
      </c>
      <c r="G29" s="147">
        <f>SUM(G30:G33)</f>
        <v>-14577.220000000038</v>
      </c>
    </row>
    <row r="30" spans="1:7" ht="15.75" customHeight="1">
      <c r="A30" s="9" t="s">
        <v>37</v>
      </c>
      <c r="B30" s="9" t="s">
        <v>235</v>
      </c>
      <c r="C30" s="134" t="s">
        <v>315</v>
      </c>
      <c r="D30" s="68">
        <v>38266.99</v>
      </c>
      <c r="E30" s="68">
        <v>37612.75</v>
      </c>
      <c r="F30" s="68">
        <f>D30</f>
        <v>38266.99</v>
      </c>
      <c r="G30" s="68">
        <f>E30-D30</f>
        <v>-654.239999999998</v>
      </c>
    </row>
    <row r="31" spans="1:7" ht="15.75" customHeight="1">
      <c r="A31" s="9" t="s">
        <v>39</v>
      </c>
      <c r="B31" s="9" t="s">
        <v>168</v>
      </c>
      <c r="C31" s="134" t="s">
        <v>314</v>
      </c>
      <c r="D31" s="68">
        <v>377954.31</v>
      </c>
      <c r="E31" s="68">
        <v>377569.22</v>
      </c>
      <c r="F31" s="68">
        <f>D31</f>
        <v>377954.31</v>
      </c>
      <c r="G31" s="68">
        <f>E31-D31</f>
        <v>-385.0900000000256</v>
      </c>
    </row>
    <row r="32" spans="1:9" s="97" customFormat="1" ht="15.75" customHeight="1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1"/>
      <c r="I32" s="1"/>
    </row>
    <row r="33" spans="1:9" ht="15.75" customHeight="1" thickBot="1">
      <c r="A33" s="9" t="s">
        <v>41</v>
      </c>
      <c r="B33" s="9" t="s">
        <v>43</v>
      </c>
      <c r="C33" s="134" t="s">
        <v>316</v>
      </c>
      <c r="D33" s="68">
        <v>853706.43</v>
      </c>
      <c r="E33" s="68">
        <v>840168.54</v>
      </c>
      <c r="F33" s="68">
        <f>D33</f>
        <v>853706.43</v>
      </c>
      <c r="G33" s="68">
        <f>E33-D33</f>
        <v>-13537.890000000014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159660.58999999985</v>
      </c>
      <c r="E34" s="39"/>
      <c r="F34" s="39"/>
      <c r="G34" s="39"/>
      <c r="H34" s="40"/>
      <c r="I34" s="40"/>
      <c r="J34" s="22"/>
    </row>
    <row r="35" spans="1:9" s="15" customFormat="1" ht="8.2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22071.77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-276411.4555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7.7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SUM(F43:L47)</f>
        <v>135020.2155</v>
      </c>
      <c r="G42" s="291"/>
      <c r="H42" s="12"/>
      <c r="I42" s="12"/>
    </row>
    <row r="43" spans="1:9" s="12" customFormat="1" ht="13.5" customHeight="1">
      <c r="A43" s="9" t="s">
        <v>16</v>
      </c>
      <c r="B43" s="271" t="s">
        <v>223</v>
      </c>
      <c r="C43" s="273"/>
      <c r="D43" s="158" t="s">
        <v>239</v>
      </c>
      <c r="E43" s="158">
        <v>600</v>
      </c>
      <c r="F43" s="308">
        <v>6156</v>
      </c>
      <c r="G43" s="309"/>
      <c r="H43" s="1"/>
      <c r="I43" s="1"/>
    </row>
    <row r="44" spans="1:7" ht="13.5" customHeight="1">
      <c r="A44" s="9" t="s">
        <v>18</v>
      </c>
      <c r="B44" s="271" t="s">
        <v>288</v>
      </c>
      <c r="C44" s="273"/>
      <c r="D44" s="158" t="s">
        <v>412</v>
      </c>
      <c r="E44" s="158">
        <v>0.04</v>
      </c>
      <c r="F44" s="294">
        <v>1583.1</v>
      </c>
      <c r="G44" s="294"/>
    </row>
    <row r="45" spans="1:7" ht="13.5" customHeight="1">
      <c r="A45" s="9" t="s">
        <v>20</v>
      </c>
      <c r="B45" s="271" t="s">
        <v>240</v>
      </c>
      <c r="C45" s="273"/>
      <c r="D45" s="158" t="s">
        <v>412</v>
      </c>
      <c r="E45" s="158">
        <v>2</v>
      </c>
      <c r="F45" s="308">
        <v>123273.12</v>
      </c>
      <c r="G45" s="309"/>
    </row>
    <row r="46" spans="1:7" ht="13.5" customHeight="1">
      <c r="A46" s="9" t="s">
        <v>22</v>
      </c>
      <c r="B46" s="271" t="s">
        <v>244</v>
      </c>
      <c r="C46" s="273"/>
      <c r="D46" s="158" t="s">
        <v>412</v>
      </c>
      <c r="E46" s="158">
        <v>0.21</v>
      </c>
      <c r="F46" s="308">
        <v>3432.5</v>
      </c>
      <c r="G46" s="309"/>
    </row>
    <row r="47" spans="1:7" ht="15">
      <c r="A47" s="9" t="s">
        <v>24</v>
      </c>
      <c r="B47" s="131" t="s">
        <v>286</v>
      </c>
      <c r="C47" s="132"/>
      <c r="D47" s="158"/>
      <c r="E47" s="158"/>
      <c r="F47" s="294">
        <f>E27*1%</f>
        <v>575.4955</v>
      </c>
      <c r="G47" s="294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  <c r="H49" s="3"/>
      <c r="I49" s="3"/>
    </row>
    <row r="50" spans="1:9" ht="15">
      <c r="A50" s="3"/>
      <c r="B50" s="3"/>
      <c r="C50" s="3"/>
      <c r="D50" s="3"/>
      <c r="E50" s="3"/>
      <c r="F50" s="4" t="s">
        <v>303</v>
      </c>
      <c r="G50" s="3"/>
      <c r="H50" s="3"/>
      <c r="I50" s="3"/>
    </row>
    <row r="51" s="3" customFormat="1" ht="15">
      <c r="A51" s="3" t="s">
        <v>50</v>
      </c>
    </row>
    <row r="52" spans="3:7" s="3" customFormat="1" ht="13.5" customHeight="1">
      <c r="C52" s="14" t="s">
        <v>51</v>
      </c>
      <c r="E52" s="14"/>
      <c r="F52" s="14"/>
      <c r="G52" s="14"/>
    </row>
    <row r="53" s="3" customFormat="1" ht="15"/>
  </sheetData>
  <sheetProtection/>
  <mergeCells count="23">
    <mergeCell ref="F47:G47"/>
    <mergeCell ref="F45:G45"/>
    <mergeCell ref="F46:G46"/>
    <mergeCell ref="B41:C41"/>
    <mergeCell ref="F41:G41"/>
    <mergeCell ref="B42:C42"/>
    <mergeCell ref="B43:C43"/>
    <mergeCell ref="B44:C44"/>
    <mergeCell ref="B45:C45"/>
    <mergeCell ref="B46:C46"/>
    <mergeCell ref="A13:C13"/>
    <mergeCell ref="F44:G44"/>
    <mergeCell ref="F42:G42"/>
    <mergeCell ref="F43:G43"/>
    <mergeCell ref="A34:C34"/>
    <mergeCell ref="A39:I39"/>
    <mergeCell ref="A12:I12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7109375" style="1" customWidth="1"/>
    <col min="2" max="2" width="48.140625" style="1" customWidth="1"/>
    <col min="3" max="3" width="13.00390625" style="1" customWidth="1"/>
    <col min="4" max="4" width="12.7109375" style="1" customWidth="1"/>
    <col min="5" max="5" width="14.140625" style="1" customWidth="1"/>
    <col min="6" max="6" width="13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7.5" customHeight="1"/>
    <row r="7" spans="1:6" s="3" customFormat="1" ht="16.5" customHeight="1">
      <c r="A7" s="3" t="s">
        <v>2</v>
      </c>
      <c r="F7" s="4" t="s">
        <v>137</v>
      </c>
    </row>
    <row r="8" spans="1:6" s="3" customFormat="1" ht="15">
      <c r="A8" s="3" t="s">
        <v>3</v>
      </c>
      <c r="F8" s="4" t="s">
        <v>91</v>
      </c>
    </row>
    <row r="9" s="3" customFormat="1" ht="6.7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41166.84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17055.13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93296.39</v>
      </c>
      <c r="H16" s="40"/>
      <c r="I16" s="40"/>
    </row>
    <row r="17" s="3" customFormat="1" ht="6.75" customHeight="1"/>
    <row r="18" spans="1:7" s="18" customFormat="1" ht="36.7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9.350000000000001</v>
      </c>
      <c r="D19" s="146">
        <v>155902.56</v>
      </c>
      <c r="E19" s="146">
        <v>155219.1</v>
      </c>
      <c r="F19" s="146">
        <f>D19</f>
        <v>155902.56</v>
      </c>
      <c r="G19" s="147">
        <f aca="true" t="shared" si="0" ref="G19:G28">E19-D19</f>
        <v>-683.4599999999919</v>
      </c>
      <c r="H19" s="143">
        <f>C19</f>
        <v>9.350000000000001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53690.50729411764</v>
      </c>
      <c r="E20" s="67">
        <f>E19*I20</f>
        <v>53455.13390374331</v>
      </c>
      <c r="F20" s="67">
        <f>D20</f>
        <v>53690.50729411764</v>
      </c>
      <c r="G20" s="68">
        <f t="shared" si="0"/>
        <v>-235.37339037432685</v>
      </c>
      <c r="H20" s="143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25511.327999999994</v>
      </c>
      <c r="E21" s="67">
        <f>E19*I21</f>
        <v>25399.489090909086</v>
      </c>
      <c r="F21" s="67">
        <f>D21</f>
        <v>25511.327999999994</v>
      </c>
      <c r="G21" s="68">
        <f t="shared" si="0"/>
        <v>-111.83890909090769</v>
      </c>
      <c r="H21" s="143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31513.993411764703</v>
      </c>
      <c r="E22" s="67">
        <f>E19*I22</f>
        <v>31375.83946524064</v>
      </c>
      <c r="F22" s="67">
        <f>D22</f>
        <v>31513.993411764703</v>
      </c>
      <c r="G22" s="68">
        <f t="shared" si="0"/>
        <v>-138.15394652406394</v>
      </c>
      <c r="H22" s="143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45186.73129411764</v>
      </c>
      <c r="E23" s="67">
        <f>E19*I23</f>
        <v>44988.637540106945</v>
      </c>
      <c r="F23" s="67">
        <f>D23</f>
        <v>45186.73129411764</v>
      </c>
      <c r="G23" s="68">
        <f t="shared" si="0"/>
        <v>-198.093754010697</v>
      </c>
      <c r="H23" s="143">
        <f>C23</f>
        <v>2.71</v>
      </c>
      <c r="I23" s="15">
        <f>H23/H19</f>
        <v>0.28983957219251333</v>
      </c>
    </row>
    <row r="24" spans="1:7" ht="15">
      <c r="A24" s="129" t="s">
        <v>25</v>
      </c>
      <c r="B24" s="151" t="s">
        <v>241</v>
      </c>
      <c r="C24" s="152">
        <v>0</v>
      </c>
      <c r="D24" s="147">
        <v>0</v>
      </c>
      <c r="E24" s="147">
        <v>0</v>
      </c>
      <c r="F24" s="147">
        <v>0</v>
      </c>
      <c r="G24" s="147">
        <f>E24-D24</f>
        <v>0</v>
      </c>
    </row>
    <row r="25" spans="1:7" ht="15">
      <c r="A25" s="129" t="s">
        <v>27</v>
      </c>
      <c r="B25" s="151" t="s">
        <v>28</v>
      </c>
      <c r="C25" s="152">
        <v>0</v>
      </c>
      <c r="D25" s="147">
        <v>0</v>
      </c>
      <c r="E25" s="147">
        <v>1168.24</v>
      </c>
      <c r="F25" s="147">
        <f>D25</f>
        <v>0</v>
      </c>
      <c r="G25" s="147">
        <f t="shared" si="0"/>
        <v>1168.24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>D26</f>
        <v>0</v>
      </c>
      <c r="G26" s="147">
        <f t="shared" si="0"/>
        <v>0</v>
      </c>
    </row>
    <row r="27" spans="1:7" ht="15">
      <c r="A27" s="129" t="s">
        <v>31</v>
      </c>
      <c r="B27" s="151" t="s">
        <v>131</v>
      </c>
      <c r="C27" s="152">
        <v>1.92</v>
      </c>
      <c r="D27" s="147">
        <v>32014.08</v>
      </c>
      <c r="E27" s="147">
        <v>31921.87</v>
      </c>
      <c r="F27" s="153">
        <f>F43</f>
        <v>2739.7587</v>
      </c>
      <c r="G27" s="147">
        <f t="shared" si="0"/>
        <v>-92.21000000000276</v>
      </c>
    </row>
    <row r="28" spans="1:7" ht="15">
      <c r="A28" s="129" t="s">
        <v>33</v>
      </c>
      <c r="B28" s="36" t="s">
        <v>34</v>
      </c>
      <c r="C28" s="145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45"/>
      <c r="D29" s="147">
        <f>SUM(D30:D33)</f>
        <v>823219.45</v>
      </c>
      <c r="E29" s="147">
        <f>SUM(E30:E33)</f>
        <v>826819.24</v>
      </c>
      <c r="F29" s="147">
        <f>SUM(F30:F33)</f>
        <v>823219.45</v>
      </c>
      <c r="G29" s="147">
        <f>SUM(G30:G33)</f>
        <v>3599.7900000000227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14147.34</v>
      </c>
      <c r="E30" s="68">
        <v>14107.59</v>
      </c>
      <c r="F30" s="68">
        <f>D30</f>
        <v>14147.34</v>
      </c>
      <c r="G30" s="68">
        <f>E30-D30</f>
        <v>-39.75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116681.01</v>
      </c>
      <c r="E31" s="68">
        <v>118224.88</v>
      </c>
      <c r="F31" s="68">
        <f>D31</f>
        <v>116681.01</v>
      </c>
      <c r="G31" s="68">
        <f>E31-D31</f>
        <v>1543.87000000001</v>
      </c>
    </row>
    <row r="32" spans="1:7" s="97" customFormat="1" ht="15">
      <c r="A32" s="9" t="s">
        <v>42</v>
      </c>
      <c r="B32" s="9" t="s">
        <v>40</v>
      </c>
      <c r="C32" s="182" t="s">
        <v>346</v>
      </c>
      <c r="D32" s="68">
        <v>183556.96</v>
      </c>
      <c r="E32" s="68">
        <v>186032.89</v>
      </c>
      <c r="F32" s="68">
        <f>D32</f>
        <v>183556.96</v>
      </c>
      <c r="G32" s="68">
        <f>E32-D32</f>
        <v>2475.930000000022</v>
      </c>
    </row>
    <row r="33" spans="1:7" ht="15.75" thickBot="1">
      <c r="A33" s="9" t="s">
        <v>41</v>
      </c>
      <c r="B33" s="9" t="s">
        <v>43</v>
      </c>
      <c r="C33" s="134" t="s">
        <v>316</v>
      </c>
      <c r="D33" s="68">
        <v>508834.14</v>
      </c>
      <c r="E33" s="68">
        <v>508453.88</v>
      </c>
      <c r="F33" s="68">
        <f>D33</f>
        <v>508834.14</v>
      </c>
      <c r="G33" s="68">
        <f>E33-D33</f>
        <v>-380.2600000000093</v>
      </c>
    </row>
    <row r="34" spans="1:10" s="20" customFormat="1" ht="18.75" customHeight="1" thickBot="1">
      <c r="A34" s="265" t="s">
        <v>299</v>
      </c>
      <c r="B34" s="266"/>
      <c r="C34" s="266"/>
      <c r="D34" s="73">
        <f>D13+D19+D24+D25+D26+D27+D28+D29-E19-E24-E25-E26-E27-E28-E29</f>
        <v>37174.47999999998</v>
      </c>
      <c r="E34" s="39"/>
      <c r="F34" s="39"/>
      <c r="G34" s="39"/>
      <c r="H34" s="22"/>
      <c r="I34" s="22"/>
      <c r="J34" s="22"/>
    </row>
    <row r="35" spans="1:9" s="15" customFormat="1" ht="13.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17055.13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122478.50129999999</v>
      </c>
      <c r="H37" s="40"/>
      <c r="I37" s="40"/>
    </row>
    <row r="38" spans="2:5" ht="15">
      <c r="B38" s="13"/>
      <c r="C38" s="13"/>
      <c r="D38" s="13"/>
      <c r="E38" s="13"/>
    </row>
    <row r="39" spans="2:5" ht="2.25" customHeight="1">
      <c r="B39" s="13"/>
      <c r="C39" s="13"/>
      <c r="D39" s="13"/>
      <c r="E39" s="13"/>
    </row>
    <row r="40" spans="1:9" ht="24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3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</row>
    <row r="43" spans="1:7" s="12" customFormat="1" ht="13.5" customHeight="1">
      <c r="A43" s="11" t="s">
        <v>47</v>
      </c>
      <c r="B43" s="287" t="s">
        <v>126</v>
      </c>
      <c r="C43" s="288"/>
      <c r="D43" s="157"/>
      <c r="E43" s="157"/>
      <c r="F43" s="295">
        <f>SUM(F44:L45)</f>
        <v>2739.7587</v>
      </c>
      <c r="G43" s="291"/>
    </row>
    <row r="44" spans="1:7" ht="13.5" customHeight="1">
      <c r="A44" s="9" t="s">
        <v>16</v>
      </c>
      <c r="B44" s="271" t="s">
        <v>458</v>
      </c>
      <c r="C44" s="273"/>
      <c r="D44" s="158" t="s">
        <v>459</v>
      </c>
      <c r="E44" s="158">
        <v>0.02</v>
      </c>
      <c r="F44" s="308">
        <v>2420.54</v>
      </c>
      <c r="G44" s="309"/>
    </row>
    <row r="45" spans="1:7" s="3" customFormat="1" ht="15">
      <c r="A45" s="9" t="s">
        <v>18</v>
      </c>
      <c r="B45" s="131" t="s">
        <v>286</v>
      </c>
      <c r="C45" s="132"/>
      <c r="D45" s="158"/>
      <c r="E45" s="158"/>
      <c r="F45" s="294">
        <f>E27*1%</f>
        <v>319.2187</v>
      </c>
      <c r="G45" s="294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 t="s">
        <v>55</v>
      </c>
      <c r="B47" s="3"/>
      <c r="C47" s="3" t="s">
        <v>49</v>
      </c>
      <c r="D47" s="3"/>
      <c r="E47" s="3"/>
      <c r="F47" s="3" t="s">
        <v>102</v>
      </c>
      <c r="G47" s="3"/>
    </row>
    <row r="48" spans="1:7" ht="15">
      <c r="A48" s="3"/>
      <c r="B48" s="3"/>
      <c r="C48" s="3"/>
      <c r="D48" s="3"/>
      <c r="E48" s="3"/>
      <c r="F48" s="4" t="s">
        <v>303</v>
      </c>
      <c r="G48" s="3"/>
    </row>
    <row r="49" spans="1:7" ht="15">
      <c r="A49" s="3" t="s">
        <v>50</v>
      </c>
      <c r="B49" s="3"/>
      <c r="C49" s="3"/>
      <c r="D49" s="3"/>
      <c r="E49" s="3"/>
      <c r="F49" s="3"/>
      <c r="G49" s="3"/>
    </row>
    <row r="50" spans="1:7" ht="15">
      <c r="A50" s="3"/>
      <c r="B50" s="3"/>
      <c r="C50" s="14" t="s">
        <v>51</v>
      </c>
      <c r="D50" s="3"/>
      <c r="E50" s="14"/>
      <c r="F50" s="14"/>
      <c r="G50" s="14"/>
    </row>
  </sheetData>
  <sheetProtection/>
  <mergeCells count="17">
    <mergeCell ref="B44:C44"/>
    <mergeCell ref="F45:G45"/>
    <mergeCell ref="A34:C34"/>
    <mergeCell ref="A11:I11"/>
    <mergeCell ref="F44:G44"/>
    <mergeCell ref="A12:I12"/>
    <mergeCell ref="A13:C13"/>
    <mergeCell ref="F42:G42"/>
    <mergeCell ref="F43:G43"/>
    <mergeCell ref="A40:I40"/>
    <mergeCell ref="A1:I1"/>
    <mergeCell ref="A2:I2"/>
    <mergeCell ref="A5:I5"/>
    <mergeCell ref="A10:I10"/>
    <mergeCell ref="A3:K3"/>
    <mergeCell ref="B43:C43"/>
    <mergeCell ref="B42:C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7109375" style="1" customWidth="1"/>
    <col min="2" max="2" width="48.7109375" style="1" customWidth="1"/>
    <col min="3" max="3" width="14.28125" style="1" customWidth="1"/>
    <col min="4" max="4" width="13.28125" style="1" customWidth="1"/>
    <col min="5" max="5" width="13.00390625" style="1" customWidth="1"/>
    <col min="6" max="6" width="13.28125" style="1" customWidth="1"/>
    <col min="7" max="7" width="14.00390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9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.75" customHeight="1"/>
    <row r="7" spans="1:6" s="3" customFormat="1" ht="16.5" customHeight="1">
      <c r="A7" s="3" t="s">
        <v>2</v>
      </c>
      <c r="F7" s="4" t="s">
        <v>138</v>
      </c>
    </row>
    <row r="8" spans="1:6" s="3" customFormat="1" ht="15">
      <c r="A8" s="3" t="s">
        <v>3</v>
      </c>
      <c r="F8" s="4" t="s">
        <v>92</v>
      </c>
    </row>
    <row r="9" s="3" customFormat="1" ht="6.7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48728.14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2910.05</v>
      </c>
      <c r="H15" s="40"/>
      <c r="I15" s="40"/>
    </row>
    <row r="16" spans="1:7" s="3" customFormat="1" ht="15.75" thickBot="1">
      <c r="A16" s="87" t="s">
        <v>229</v>
      </c>
      <c r="B16" s="43"/>
      <c r="C16" s="43"/>
      <c r="D16" s="44"/>
      <c r="E16" s="45"/>
      <c r="F16" s="45"/>
      <c r="G16" s="38">
        <v>32816.78</v>
      </c>
    </row>
    <row r="17" s="3" customFormat="1" ht="15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8.93</v>
      </c>
      <c r="D19" s="146">
        <v>96487.08</v>
      </c>
      <c r="E19" s="146">
        <v>94300.79</v>
      </c>
      <c r="F19" s="146">
        <f aca="true" t="shared" si="0" ref="F19:F26">D19</f>
        <v>96487.08</v>
      </c>
      <c r="G19" s="147">
        <f aca="true" t="shared" si="1" ref="G19:G28">E19-D19</f>
        <v>-2186.290000000008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34791.53388577828</v>
      </c>
      <c r="E20" s="67">
        <f>E19*I20</f>
        <v>34003.196394176935</v>
      </c>
      <c r="F20" s="67">
        <f t="shared" si="0"/>
        <v>34791.53388577828</v>
      </c>
      <c r="G20" s="68">
        <f t="shared" si="1"/>
        <v>-788.3374916013418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17071.62221724524</v>
      </c>
      <c r="E21" s="67">
        <f>E19*I21</f>
        <v>16684.79823068309</v>
      </c>
      <c r="F21" s="67">
        <f t="shared" si="0"/>
        <v>17071.62221724524</v>
      </c>
      <c r="G21" s="68">
        <f t="shared" si="1"/>
        <v>-386.8239865621508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15342.850347144456</v>
      </c>
      <c r="E22" s="67">
        <f>E19*I22</f>
        <v>14995.19840985442</v>
      </c>
      <c r="F22" s="67">
        <f t="shared" si="0"/>
        <v>15342.850347144456</v>
      </c>
      <c r="G22" s="68">
        <f t="shared" si="1"/>
        <v>-347.6519372900366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29281.07354983203</v>
      </c>
      <c r="E23" s="67">
        <f>E19*I23</f>
        <v>28617.596965285553</v>
      </c>
      <c r="F23" s="67">
        <f t="shared" si="0"/>
        <v>29281.07354983203</v>
      </c>
      <c r="G23" s="68">
        <f t="shared" si="1"/>
        <v>-663.4765845464754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1887.83</v>
      </c>
      <c r="F25" s="147">
        <f t="shared" si="0"/>
        <v>0</v>
      </c>
      <c r="G25" s="147">
        <f t="shared" si="1"/>
        <v>1887.83</v>
      </c>
    </row>
    <row r="26" spans="1:7" ht="15">
      <c r="A26" s="129" t="s">
        <v>29</v>
      </c>
      <c r="B26" s="151" t="s">
        <v>230</v>
      </c>
      <c r="C26" s="152">
        <v>0</v>
      </c>
      <c r="D26" s="147">
        <v>458.04</v>
      </c>
      <c r="E26" s="147">
        <v>446.44</v>
      </c>
      <c r="F26" s="147">
        <f t="shared" si="0"/>
        <v>458.04</v>
      </c>
      <c r="G26" s="147">
        <f t="shared" si="1"/>
        <v>-11.600000000000023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18800.28</v>
      </c>
      <c r="E27" s="147">
        <v>18394.35</v>
      </c>
      <c r="F27" s="153">
        <f>F42</f>
        <v>15401.383499999998</v>
      </c>
      <c r="G27" s="147">
        <f t="shared" si="1"/>
        <v>-405.9300000000003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510408.75</v>
      </c>
      <c r="E29" s="147">
        <f>SUM(E30:E33)</f>
        <v>503390.82999999996</v>
      </c>
      <c r="F29" s="147">
        <f>SUM(F30:F33)</f>
        <v>510408.75</v>
      </c>
      <c r="G29" s="147">
        <f>SUM(G30:G33)</f>
        <v>-7017.920000000013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9576.06</v>
      </c>
      <c r="E30" s="68">
        <v>9381.06</v>
      </c>
      <c r="F30" s="68">
        <f>D30</f>
        <v>9576.06</v>
      </c>
      <c r="G30" s="68">
        <f>E30-D30</f>
        <v>-195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171106.69</v>
      </c>
      <c r="E31" s="68">
        <v>167815.78</v>
      </c>
      <c r="F31" s="68">
        <f>D31</f>
        <v>171106.69</v>
      </c>
      <c r="G31" s="68">
        <f>E31-D31</f>
        <v>-3290.9100000000035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329726</v>
      </c>
      <c r="E33" s="68">
        <v>326193.99</v>
      </c>
      <c r="F33" s="68">
        <f>D33</f>
        <v>329726</v>
      </c>
      <c r="G33" s="68">
        <f>E33-D33</f>
        <v>-3532.0100000000093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56462.05000000016</v>
      </c>
      <c r="E34" s="39"/>
      <c r="F34" s="39"/>
      <c r="G34" s="39"/>
      <c r="H34" s="40"/>
      <c r="I34" s="40"/>
      <c r="J34" s="22"/>
    </row>
    <row r="35" spans="1:9" s="15" customFormat="1" ht="10.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2910.05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35809.7465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4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SUM(F43:L45)</f>
        <v>15401.383499999998</v>
      </c>
      <c r="G42" s="291"/>
      <c r="H42" s="12"/>
      <c r="I42" s="12"/>
    </row>
    <row r="43" spans="1:9" s="3" customFormat="1" ht="15">
      <c r="A43" s="9" t="s">
        <v>16</v>
      </c>
      <c r="B43" s="271" t="s">
        <v>428</v>
      </c>
      <c r="C43" s="273"/>
      <c r="D43" s="158" t="s">
        <v>410</v>
      </c>
      <c r="E43" s="158">
        <v>0.01</v>
      </c>
      <c r="F43" s="294">
        <v>7142</v>
      </c>
      <c r="G43" s="294"/>
      <c r="H43" s="1"/>
      <c r="I43" s="1"/>
    </row>
    <row r="44" spans="1:9" s="3" customFormat="1" ht="15">
      <c r="A44" s="9" t="s">
        <v>18</v>
      </c>
      <c r="B44" s="271" t="s">
        <v>429</v>
      </c>
      <c r="C44" s="273"/>
      <c r="D44" s="158" t="s">
        <v>411</v>
      </c>
      <c r="E44" s="158">
        <v>1.01</v>
      </c>
      <c r="F44" s="294">
        <v>8075.44</v>
      </c>
      <c r="G44" s="294"/>
      <c r="H44" s="1"/>
      <c r="I44" s="1"/>
    </row>
    <row r="45" spans="1:9" s="3" customFormat="1" ht="15">
      <c r="A45" s="9" t="s">
        <v>20</v>
      </c>
      <c r="B45" s="131" t="s">
        <v>286</v>
      </c>
      <c r="C45" s="132"/>
      <c r="D45" s="158"/>
      <c r="E45" s="158"/>
      <c r="F45" s="294">
        <f>E27*1%</f>
        <v>183.9435</v>
      </c>
      <c r="G45" s="294"/>
      <c r="H45" s="1"/>
      <c r="I45" s="1"/>
    </row>
    <row r="46" s="3" customFormat="1" ht="11.25" customHeight="1"/>
    <row r="47" spans="1:6" s="3" customFormat="1" ht="15">
      <c r="A47" s="3" t="s">
        <v>55</v>
      </c>
      <c r="C47" s="3" t="s">
        <v>49</v>
      </c>
      <c r="F47" s="3" t="s">
        <v>102</v>
      </c>
    </row>
    <row r="48" s="3" customFormat="1" ht="15">
      <c r="F48" s="4" t="s">
        <v>303</v>
      </c>
    </row>
    <row r="49" spans="1:9" ht="15">
      <c r="A49" s="3" t="s">
        <v>50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14" t="s">
        <v>51</v>
      </c>
      <c r="D50" s="3"/>
      <c r="E50" s="14"/>
      <c r="F50" s="14"/>
      <c r="G50" s="14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</sheetData>
  <sheetProtection/>
  <mergeCells count="19">
    <mergeCell ref="F44:G44"/>
    <mergeCell ref="F45:G45"/>
    <mergeCell ref="B43:C43"/>
    <mergeCell ref="B44:C44"/>
    <mergeCell ref="F43:G43"/>
    <mergeCell ref="A34:C34"/>
    <mergeCell ref="A39:I39"/>
    <mergeCell ref="B41:C41"/>
    <mergeCell ref="F41:G41"/>
    <mergeCell ref="B42:C42"/>
    <mergeCell ref="A12:I12"/>
    <mergeCell ref="F42:G42"/>
    <mergeCell ref="A13:C13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57421875" style="1" customWidth="1"/>
    <col min="2" max="2" width="40.28125" style="1" bestFit="1" customWidth="1"/>
    <col min="3" max="3" width="13.7109375" style="1" customWidth="1"/>
    <col min="4" max="4" width="13.421875" style="1" customWidth="1"/>
    <col min="5" max="5" width="13.00390625" style="1" customWidth="1"/>
    <col min="6" max="6" width="12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6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8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6.5" customHeight="1">
      <c r="A7" s="3" t="s">
        <v>2</v>
      </c>
      <c r="F7" s="4" t="s">
        <v>135</v>
      </c>
    </row>
    <row r="8" spans="1:6" s="3" customFormat="1" ht="15">
      <c r="A8" s="3" t="s">
        <v>3</v>
      </c>
      <c r="F8" s="4" t="s">
        <v>246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120896.21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93">
        <v>-2532.39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-71028.32</v>
      </c>
      <c r="H16" s="40"/>
      <c r="I16" s="40"/>
    </row>
    <row r="17" s="3" customFormat="1" ht="8.25" customHeight="1"/>
    <row r="18" spans="1:8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  <c r="H18" s="6"/>
    </row>
    <row r="19" spans="1:8" s="165" customFormat="1" ht="14.25">
      <c r="A19" s="163" t="s">
        <v>14</v>
      </c>
      <c r="B19" s="36" t="s">
        <v>15</v>
      </c>
      <c r="C19" s="145">
        <f>C20+C21+C22+C23</f>
        <v>8.93</v>
      </c>
      <c r="D19" s="146">
        <v>370506.6</v>
      </c>
      <c r="E19" s="146">
        <v>359397.28</v>
      </c>
      <c r="F19" s="146">
        <f>D19</f>
        <v>370506.6</v>
      </c>
      <c r="G19" s="147">
        <f aca="true" t="shared" si="0" ref="G19:G27">D19-E19</f>
        <v>11109.319999999949</v>
      </c>
      <c r="H19" s="164">
        <f>C19</f>
        <v>8.93</v>
      </c>
    </row>
    <row r="20" spans="1:9" s="3" customFormat="1" ht="15">
      <c r="A20" s="8" t="s">
        <v>16</v>
      </c>
      <c r="B20" s="28" t="s">
        <v>17</v>
      </c>
      <c r="C20" s="139">
        <v>3.22</v>
      </c>
      <c r="D20" s="67">
        <f>D19*I20</f>
        <v>133598.12452407615</v>
      </c>
      <c r="E20" s="67">
        <f>E19*I20</f>
        <v>129592.30029115344</v>
      </c>
      <c r="F20" s="67">
        <f>D20</f>
        <v>133598.12452407615</v>
      </c>
      <c r="G20" s="68">
        <f t="shared" si="0"/>
        <v>4005.824232922707</v>
      </c>
      <c r="H20" s="117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28" t="s">
        <v>19</v>
      </c>
      <c r="C21" s="139">
        <f>1.43+0.15</f>
        <v>1.5799999999999998</v>
      </c>
      <c r="D21" s="67">
        <f>D19*I21</f>
        <v>65554.35923852182</v>
      </c>
      <c r="E21" s="67">
        <f>E19*I21</f>
        <v>63588.76846584546</v>
      </c>
      <c r="F21" s="67">
        <f>D21</f>
        <v>65554.35923852182</v>
      </c>
      <c r="G21" s="68">
        <f t="shared" si="0"/>
        <v>1965.5907726763617</v>
      </c>
      <c r="H21" s="117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28" t="s">
        <v>21</v>
      </c>
      <c r="C22" s="139">
        <f>1.89-0.47</f>
        <v>1.42</v>
      </c>
      <c r="D22" s="67">
        <f>D19*I22</f>
        <v>58915.943113101894</v>
      </c>
      <c r="E22" s="67">
        <f>E19*I22</f>
        <v>57149.39950727883</v>
      </c>
      <c r="F22" s="67">
        <f>D22</f>
        <v>58915.943113101894</v>
      </c>
      <c r="G22" s="68">
        <f t="shared" si="0"/>
        <v>1766.5436058230625</v>
      </c>
      <c r="H22" s="117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28" t="s">
        <v>23</v>
      </c>
      <c r="C23" s="139">
        <v>2.71</v>
      </c>
      <c r="D23" s="67">
        <f>D19*I23</f>
        <v>112438.17312430011</v>
      </c>
      <c r="E23" s="67">
        <f>E19*I23</f>
        <v>109066.8117357223</v>
      </c>
      <c r="F23" s="67">
        <f>D23</f>
        <v>112438.17312430011</v>
      </c>
      <c r="G23" s="68">
        <f t="shared" si="0"/>
        <v>3371.3613885778177</v>
      </c>
      <c r="H23" s="117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28</v>
      </c>
      <c r="C24" s="152">
        <v>0</v>
      </c>
      <c r="D24" s="147">
        <v>0</v>
      </c>
      <c r="E24" s="147">
        <v>4924.49</v>
      </c>
      <c r="F24" s="147">
        <v>0</v>
      </c>
      <c r="G24" s="147">
        <f t="shared" si="0"/>
        <v>-4924.49</v>
      </c>
    </row>
    <row r="25" spans="1:7" s="162" customFormat="1" ht="14.25">
      <c r="A25" s="129" t="s">
        <v>27</v>
      </c>
      <c r="B25" s="151" t="s">
        <v>230</v>
      </c>
      <c r="C25" s="152">
        <v>1832.48</v>
      </c>
      <c r="D25" s="147">
        <v>13468.73</v>
      </c>
      <c r="E25" s="147">
        <v>12910.57</v>
      </c>
      <c r="F25" s="147">
        <f>D25</f>
        <v>13468.73</v>
      </c>
      <c r="G25" s="147">
        <f t="shared" si="0"/>
        <v>558.1599999999999</v>
      </c>
    </row>
    <row r="26" spans="1:7" s="162" customFormat="1" ht="14.25">
      <c r="A26" s="129" t="s">
        <v>29</v>
      </c>
      <c r="B26" s="151" t="s">
        <v>131</v>
      </c>
      <c r="C26" s="152">
        <v>1.74</v>
      </c>
      <c r="D26" s="147">
        <v>72192.72</v>
      </c>
      <c r="E26" s="147">
        <v>70294.88</v>
      </c>
      <c r="F26" s="153">
        <f>F41</f>
        <v>18119.3288</v>
      </c>
      <c r="G26" s="147">
        <f t="shared" si="0"/>
        <v>1897.8399999999965</v>
      </c>
    </row>
    <row r="27" spans="1:7" s="114" customFormat="1" ht="14.25">
      <c r="A27" s="170" t="s">
        <v>322</v>
      </c>
      <c r="B27" s="36" t="s">
        <v>34</v>
      </c>
      <c r="C27" s="145">
        <v>0</v>
      </c>
      <c r="D27" s="113">
        <v>0</v>
      </c>
      <c r="E27" s="113">
        <v>214.71</v>
      </c>
      <c r="F27" s="153">
        <f>D27</f>
        <v>0</v>
      </c>
      <c r="G27" s="147">
        <f t="shared" si="0"/>
        <v>-214.71</v>
      </c>
    </row>
    <row r="28" spans="1:7" s="162" customFormat="1" ht="14.25">
      <c r="A28" s="129" t="s">
        <v>323</v>
      </c>
      <c r="B28" s="36" t="s">
        <v>36</v>
      </c>
      <c r="C28" s="145"/>
      <c r="D28" s="147">
        <f>SUM(D29:D32)</f>
        <v>1402685.7999999998</v>
      </c>
      <c r="E28" s="147">
        <f>SUM(E29:E32)</f>
        <v>1374502.29</v>
      </c>
      <c r="F28" s="147">
        <f>SUM(F29:F32)</f>
        <v>1402685.7999999998</v>
      </c>
      <c r="G28" s="147">
        <f>SUM(G29:G32)</f>
        <v>28183.509999999966</v>
      </c>
    </row>
    <row r="29" spans="1:7" ht="15">
      <c r="A29" s="9" t="s">
        <v>324</v>
      </c>
      <c r="B29" s="9" t="s">
        <v>235</v>
      </c>
      <c r="C29" s="134" t="s">
        <v>315</v>
      </c>
      <c r="D29" s="68">
        <v>19844.91</v>
      </c>
      <c r="E29" s="68">
        <v>19150.05</v>
      </c>
      <c r="F29" s="216">
        <f>D29</f>
        <v>19844.91</v>
      </c>
      <c r="G29" s="68">
        <f>D29-E29</f>
        <v>694.8600000000006</v>
      </c>
    </row>
    <row r="30" spans="1:7" ht="15">
      <c r="A30" s="9" t="s">
        <v>325</v>
      </c>
      <c r="B30" s="9" t="s">
        <v>168</v>
      </c>
      <c r="C30" s="134" t="s">
        <v>314</v>
      </c>
      <c r="D30" s="68">
        <v>398264.57</v>
      </c>
      <c r="E30" s="68">
        <v>394937.49</v>
      </c>
      <c r="F30" s="216">
        <f>D30</f>
        <v>398264.57</v>
      </c>
      <c r="G30" s="68">
        <f>D30-E30</f>
        <v>3327.0800000000163</v>
      </c>
    </row>
    <row r="31" spans="1:7" ht="15">
      <c r="A31" s="9" t="s">
        <v>326</v>
      </c>
      <c r="B31" s="9" t="s">
        <v>40</v>
      </c>
      <c r="C31" s="182">
        <v>0</v>
      </c>
      <c r="D31" s="68">
        <v>0</v>
      </c>
      <c r="E31" s="68">
        <v>0</v>
      </c>
      <c r="F31" s="216">
        <f>D31</f>
        <v>0</v>
      </c>
      <c r="G31" s="68">
        <f>D31-E31</f>
        <v>0</v>
      </c>
    </row>
    <row r="32" spans="1:7" ht="15.75" thickBot="1">
      <c r="A32" s="9" t="s">
        <v>327</v>
      </c>
      <c r="B32" s="9" t="s">
        <v>43</v>
      </c>
      <c r="C32" s="134" t="s">
        <v>316</v>
      </c>
      <c r="D32" s="68">
        <v>984576.32</v>
      </c>
      <c r="E32" s="68">
        <v>960414.75</v>
      </c>
      <c r="F32" s="216">
        <f>D32</f>
        <v>984576.32</v>
      </c>
      <c r="G32" s="68">
        <f>D32-E32</f>
        <v>24161.56999999995</v>
      </c>
    </row>
    <row r="33" spans="1:9" s="15" customFormat="1" ht="15.75" thickBot="1">
      <c r="A33" s="265" t="s">
        <v>227</v>
      </c>
      <c r="B33" s="266"/>
      <c r="C33" s="266"/>
      <c r="D33" s="73">
        <f>D13+D19+D24+D25+D26+D27+D28-E19-E24-E25-E26-E27-E28</f>
        <v>157505.83999999985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300</v>
      </c>
      <c r="B35" s="43"/>
      <c r="C35" s="43"/>
      <c r="D35" s="44"/>
      <c r="E35" s="45"/>
      <c r="F35" s="45"/>
      <c r="G35" s="66">
        <f>G15+E27-F27</f>
        <v>-2317.68</v>
      </c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66">
        <f>G16+E26-F26</f>
        <v>-18852.7688</v>
      </c>
      <c r="H36" s="40"/>
      <c r="I36" s="40"/>
    </row>
    <row r="37" spans="1:9" s="15" customFormat="1" ht="15">
      <c r="A37" s="89"/>
      <c r="B37" s="41"/>
      <c r="C37" s="41"/>
      <c r="D37" s="42"/>
      <c r="E37" s="39"/>
      <c r="F37" s="39"/>
      <c r="G37" s="130"/>
      <c r="H37" s="40"/>
      <c r="I37" s="40"/>
    </row>
    <row r="38" spans="1:9" ht="33.75" customHeight="1">
      <c r="A38" s="267" t="s">
        <v>44</v>
      </c>
      <c r="B38" s="267"/>
      <c r="C38" s="267"/>
      <c r="D38" s="267"/>
      <c r="E38" s="267"/>
      <c r="F38" s="267"/>
      <c r="G38" s="267"/>
      <c r="H38" s="267"/>
      <c r="I38" s="267"/>
    </row>
    <row r="40" spans="1:7" s="7" customFormat="1" ht="28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91"/>
    </row>
    <row r="41" spans="1:7" s="12" customFormat="1" ht="15" customHeight="1">
      <c r="A41" s="11" t="s">
        <v>47</v>
      </c>
      <c r="B41" s="287" t="s">
        <v>126</v>
      </c>
      <c r="C41" s="288"/>
      <c r="D41" s="155"/>
      <c r="E41" s="155"/>
      <c r="F41" s="292">
        <f>SUM(F42:G45)</f>
        <v>18119.3288</v>
      </c>
      <c r="G41" s="293"/>
    </row>
    <row r="42" spans="1:7" ht="15.75" customHeight="1">
      <c r="A42" s="9" t="s">
        <v>16</v>
      </c>
      <c r="B42" s="271" t="s">
        <v>245</v>
      </c>
      <c r="C42" s="273"/>
      <c r="D42" s="158" t="s">
        <v>234</v>
      </c>
      <c r="E42" s="158">
        <v>1</v>
      </c>
      <c r="F42" s="290">
        <v>556.67</v>
      </c>
      <c r="G42" s="290"/>
    </row>
    <row r="43" spans="1:7" ht="15.75" customHeight="1">
      <c r="A43" s="9" t="s">
        <v>18</v>
      </c>
      <c r="B43" s="271" t="s">
        <v>240</v>
      </c>
      <c r="C43" s="273"/>
      <c r="D43" s="158" t="s">
        <v>412</v>
      </c>
      <c r="E43" s="158">
        <v>0.2</v>
      </c>
      <c r="F43" s="290">
        <v>8698.76</v>
      </c>
      <c r="G43" s="290"/>
    </row>
    <row r="44" spans="1:7" ht="15.75" customHeight="1">
      <c r="A44" s="9" t="s">
        <v>20</v>
      </c>
      <c r="B44" s="271" t="s">
        <v>479</v>
      </c>
      <c r="C44" s="273"/>
      <c r="D44" s="158" t="s">
        <v>410</v>
      </c>
      <c r="E44" s="158">
        <v>0.02</v>
      </c>
      <c r="F44" s="290">
        <v>8160.95</v>
      </c>
      <c r="G44" s="290"/>
    </row>
    <row r="45" spans="1:7" s="48" customFormat="1" ht="15.75" customHeight="1">
      <c r="A45" s="9" t="s">
        <v>22</v>
      </c>
      <c r="B45" s="275" t="s">
        <v>286</v>
      </c>
      <c r="C45" s="276"/>
      <c r="D45" s="174"/>
      <c r="E45" s="174"/>
      <c r="F45" s="289">
        <f>E26*1%</f>
        <v>702.9488</v>
      </c>
      <c r="G45" s="289"/>
    </row>
    <row r="46" spans="2:5" ht="15">
      <c r="B46" s="13"/>
      <c r="C46" s="13"/>
      <c r="D46" s="13"/>
      <c r="E46" s="13"/>
    </row>
    <row r="47" spans="1:6" s="3" customFormat="1" ht="15">
      <c r="A47" s="3" t="s">
        <v>55</v>
      </c>
      <c r="C47" s="3" t="s">
        <v>49</v>
      </c>
      <c r="F47" s="3" t="s">
        <v>102</v>
      </c>
    </row>
    <row r="48" s="3" customFormat="1" ht="15">
      <c r="F48" s="4" t="s">
        <v>302</v>
      </c>
    </row>
    <row r="49" s="3" customFormat="1" ht="15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2">
    <mergeCell ref="B44:C44"/>
    <mergeCell ref="F44:G44"/>
    <mergeCell ref="F42:G42"/>
    <mergeCell ref="F40:G40"/>
    <mergeCell ref="B40:C40"/>
    <mergeCell ref="F41:G41"/>
    <mergeCell ref="A11:I11"/>
    <mergeCell ref="A1:I1"/>
    <mergeCell ref="A2:I2"/>
    <mergeCell ref="A5:I5"/>
    <mergeCell ref="A10:I10"/>
    <mergeCell ref="A3:K3"/>
    <mergeCell ref="F45:G45"/>
    <mergeCell ref="B41:C41"/>
    <mergeCell ref="B42:C42"/>
    <mergeCell ref="B45:C45"/>
    <mergeCell ref="A12:I12"/>
    <mergeCell ref="A38:I38"/>
    <mergeCell ref="B43:C43"/>
    <mergeCell ref="F43:G43"/>
    <mergeCell ref="A13:C13"/>
    <mergeCell ref="A33:C33"/>
  </mergeCells>
  <printOptions/>
  <pageMargins left="0" right="0" top="0" bottom="0" header="0.31496062992125984" footer="0.31496062992125984"/>
  <pageSetup horizontalDpi="180" verticalDpi="180" orientation="portrait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6.140625" style="1" customWidth="1"/>
    <col min="2" max="2" width="48.28125" style="1" customWidth="1"/>
    <col min="3" max="3" width="14.57421875" style="1" customWidth="1"/>
    <col min="4" max="4" width="13.140625" style="1" customWidth="1"/>
    <col min="5" max="5" width="13.00390625" style="1" customWidth="1"/>
    <col min="6" max="6" width="13.140625" style="1" customWidth="1"/>
    <col min="7" max="7" width="13.8515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 customHeight="1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80" t="s">
        <v>1</v>
      </c>
      <c r="B5" s="280"/>
      <c r="C5" s="280"/>
      <c r="D5" s="280"/>
      <c r="E5" s="280"/>
      <c r="F5" s="280"/>
      <c r="G5" s="280"/>
      <c r="H5" s="280"/>
      <c r="I5" s="280"/>
    </row>
    <row r="6" ht="3.75" customHeight="1"/>
    <row r="7" spans="1:6" s="3" customFormat="1" ht="16.5" customHeight="1">
      <c r="A7" s="3" t="s">
        <v>2</v>
      </c>
      <c r="F7" s="4" t="s">
        <v>93</v>
      </c>
    </row>
    <row r="8" spans="1:6" s="3" customFormat="1" ht="15">
      <c r="A8" s="3" t="s">
        <v>3</v>
      </c>
      <c r="F8" s="4" t="s">
        <v>187</v>
      </c>
    </row>
    <row r="9" s="3" customFormat="1" ht="6.7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226</v>
      </c>
      <c r="B13" s="324"/>
      <c r="C13" s="324"/>
      <c r="D13" s="38">
        <v>869793.31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5697.05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-347428.78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9.350000000000001</v>
      </c>
      <c r="D19" s="146">
        <v>618383.04</v>
      </c>
      <c r="E19" s="146">
        <v>614898.93</v>
      </c>
      <c r="F19" s="146">
        <f>D19</f>
        <v>618383.04</v>
      </c>
      <c r="G19" s="147">
        <f aca="true" t="shared" si="0" ref="G19:G28">E19-D19</f>
        <v>-3484.109999999986</v>
      </c>
      <c r="H19" s="143">
        <f>C19</f>
        <v>9.350000000000001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212961.85976470588</v>
      </c>
      <c r="E20" s="67">
        <f>E19*I20</f>
        <v>211761.98444919786</v>
      </c>
      <c r="F20" s="67">
        <f>D20</f>
        <v>212961.85976470588</v>
      </c>
      <c r="G20" s="68">
        <f t="shared" si="0"/>
        <v>-1199.8753155080194</v>
      </c>
      <c r="H20" s="143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101189.95199999999</v>
      </c>
      <c r="E21" s="67">
        <f>E19*I21</f>
        <v>100619.8249090909</v>
      </c>
      <c r="F21" s="67">
        <f>D21</f>
        <v>101189.95199999999</v>
      </c>
      <c r="G21" s="68">
        <f t="shared" si="0"/>
        <v>-570.1270909090963</v>
      </c>
      <c r="H21" s="143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124999.35247058823</v>
      </c>
      <c r="E22" s="67">
        <f>E19*I22</f>
        <v>124295.07782887701</v>
      </c>
      <c r="F22" s="67">
        <f>D22</f>
        <v>124999.35247058823</v>
      </c>
      <c r="G22" s="68">
        <f t="shared" si="0"/>
        <v>-704.2746417112212</v>
      </c>
      <c r="H22" s="143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179231.87576470588</v>
      </c>
      <c r="E23" s="67">
        <f>E19*I23</f>
        <v>178222.0428128342</v>
      </c>
      <c r="F23" s="67">
        <f>D23</f>
        <v>179231.87576470588</v>
      </c>
      <c r="G23" s="68">
        <f t="shared" si="0"/>
        <v>-1009.8329518716782</v>
      </c>
      <c r="H23" s="143">
        <f>C23</f>
        <v>2.71</v>
      </c>
      <c r="I23" s="15">
        <f>H23/H19</f>
        <v>0.28983957219251333</v>
      </c>
    </row>
    <row r="24" spans="1:7" ht="15">
      <c r="A24" s="129" t="s">
        <v>25</v>
      </c>
      <c r="B24" s="151" t="s">
        <v>241</v>
      </c>
      <c r="C24" s="152">
        <v>0</v>
      </c>
      <c r="D24" s="147">
        <v>0</v>
      </c>
      <c r="E24" s="147">
        <v>0</v>
      </c>
      <c r="F24" s="147">
        <v>0</v>
      </c>
      <c r="G24" s="147">
        <f>E24-D24</f>
        <v>0</v>
      </c>
    </row>
    <row r="25" spans="1:7" ht="15">
      <c r="A25" s="129" t="s">
        <v>27</v>
      </c>
      <c r="B25" s="151" t="s">
        <v>28</v>
      </c>
      <c r="C25" s="152">
        <v>0</v>
      </c>
      <c r="D25" s="147">
        <v>0</v>
      </c>
      <c r="E25" s="147">
        <v>9163.66</v>
      </c>
      <c r="F25" s="147">
        <f>D25</f>
        <v>0</v>
      </c>
      <c r="G25" s="147">
        <f t="shared" si="0"/>
        <v>9163.66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>D26</f>
        <v>0</v>
      </c>
      <c r="G26" s="147">
        <f t="shared" si="0"/>
        <v>0</v>
      </c>
    </row>
    <row r="27" spans="1:13" ht="15">
      <c r="A27" s="129" t="s">
        <v>31</v>
      </c>
      <c r="B27" s="151" t="s">
        <v>131</v>
      </c>
      <c r="C27" s="152">
        <v>1.92</v>
      </c>
      <c r="D27" s="147">
        <v>126982.8</v>
      </c>
      <c r="E27" s="147">
        <v>126149.6</v>
      </c>
      <c r="F27" s="153">
        <f>F42</f>
        <v>134933.25600000002</v>
      </c>
      <c r="G27" s="147">
        <f t="shared" si="0"/>
        <v>-833.1999999999971</v>
      </c>
      <c r="M27" s="77"/>
    </row>
    <row r="28" spans="1:7" ht="15">
      <c r="A28" s="129" t="s">
        <v>33</v>
      </c>
      <c r="B28" s="36" t="s">
        <v>34</v>
      </c>
      <c r="C28" s="145">
        <v>0</v>
      </c>
      <c r="D28" s="147">
        <v>0</v>
      </c>
      <c r="E28" s="147">
        <v>0</v>
      </c>
      <c r="F28" s="153">
        <v>0</v>
      </c>
      <c r="G28" s="147">
        <f t="shared" si="0"/>
        <v>0</v>
      </c>
    </row>
    <row r="29" spans="1:7" ht="15">
      <c r="A29" s="129" t="s">
        <v>35</v>
      </c>
      <c r="B29" s="36" t="s">
        <v>36</v>
      </c>
      <c r="C29" s="145"/>
      <c r="D29" s="147">
        <f>SUM(D30:D33)</f>
        <v>3153590.74</v>
      </c>
      <c r="E29" s="147">
        <f>SUM(E30:E33)</f>
        <v>3031601.0999999996</v>
      </c>
      <c r="F29" s="147">
        <f>SUM(F30:F33)</f>
        <v>3153590.74</v>
      </c>
      <c r="G29" s="147">
        <f>SUM(G30:G33)</f>
        <v>-121989.64000000017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54371.52</v>
      </c>
      <c r="E30" s="68">
        <v>54046.51</v>
      </c>
      <c r="F30" s="68">
        <f>D30</f>
        <v>54371.52</v>
      </c>
      <c r="G30" s="68">
        <f>E30-D30</f>
        <v>-325.00999999999476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426935.61</v>
      </c>
      <c r="E31" s="68">
        <v>404756.41</v>
      </c>
      <c r="F31" s="68">
        <f>D31</f>
        <v>426935.61</v>
      </c>
      <c r="G31" s="68">
        <f>E31-D31</f>
        <v>-22179.20000000001</v>
      </c>
    </row>
    <row r="32" spans="1:7" s="97" customFormat="1" ht="15">
      <c r="A32" s="9" t="s">
        <v>42</v>
      </c>
      <c r="B32" s="9" t="s">
        <v>40</v>
      </c>
      <c r="C32" s="182" t="s">
        <v>346</v>
      </c>
      <c r="D32" s="68">
        <v>654011.26</v>
      </c>
      <c r="E32" s="68">
        <v>619536.48</v>
      </c>
      <c r="F32" s="68">
        <f>D32</f>
        <v>654011.26</v>
      </c>
      <c r="G32" s="68">
        <f>E32-D32</f>
        <v>-34474.78000000003</v>
      </c>
    </row>
    <row r="33" spans="1:7" ht="15.75" thickBot="1">
      <c r="A33" s="9" t="s">
        <v>41</v>
      </c>
      <c r="B33" s="9" t="s">
        <v>43</v>
      </c>
      <c r="C33" s="134" t="s">
        <v>316</v>
      </c>
      <c r="D33" s="68">
        <v>2018272.35</v>
      </c>
      <c r="E33" s="68">
        <v>1953261.7</v>
      </c>
      <c r="F33" s="68">
        <f>D33</f>
        <v>2018272.35</v>
      </c>
      <c r="G33" s="68">
        <f>E33-D33</f>
        <v>-65010.65000000014</v>
      </c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986936.6000000006</v>
      </c>
      <c r="E34" s="39"/>
      <c r="F34" s="39"/>
      <c r="G34" s="39"/>
      <c r="H34" s="22"/>
      <c r="I34" s="22"/>
      <c r="J34" s="22"/>
    </row>
    <row r="35" spans="1:9" s="15" customFormat="1" ht="5.2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5697.05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-356212.43600000005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ht="24.7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3" customHeight="1"/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3.5" customHeight="1">
      <c r="A42" s="11" t="s">
        <v>47</v>
      </c>
      <c r="B42" s="287" t="s">
        <v>126</v>
      </c>
      <c r="C42" s="288"/>
      <c r="D42" s="157"/>
      <c r="E42" s="157"/>
      <c r="F42" s="295">
        <f>SUM(F43:L49)</f>
        <v>134933.25600000002</v>
      </c>
      <c r="G42" s="291"/>
    </row>
    <row r="43" spans="1:7" ht="13.5" customHeight="1">
      <c r="A43" s="9" t="s">
        <v>16</v>
      </c>
      <c r="B43" s="271" t="s">
        <v>471</v>
      </c>
      <c r="C43" s="273"/>
      <c r="D43" s="158" t="s">
        <v>412</v>
      </c>
      <c r="E43" s="192">
        <v>0.116</v>
      </c>
      <c r="F43" s="308">
        <v>20045.99</v>
      </c>
      <c r="G43" s="309"/>
    </row>
    <row r="44" spans="1:9" s="48" customFormat="1" ht="13.5" customHeight="1">
      <c r="A44" s="9" t="s">
        <v>18</v>
      </c>
      <c r="B44" s="271" t="s">
        <v>237</v>
      </c>
      <c r="C44" s="273"/>
      <c r="D44" s="158"/>
      <c r="E44" s="192"/>
      <c r="F44" s="294">
        <v>16000</v>
      </c>
      <c r="G44" s="294"/>
      <c r="H44" s="1"/>
      <c r="I44" s="1"/>
    </row>
    <row r="45" spans="1:7" ht="13.5" customHeight="1">
      <c r="A45" s="9" t="s">
        <v>20</v>
      </c>
      <c r="B45" s="271" t="s">
        <v>430</v>
      </c>
      <c r="C45" s="273"/>
      <c r="D45" s="158" t="s">
        <v>234</v>
      </c>
      <c r="E45" s="192"/>
      <c r="F45" s="308">
        <v>17713</v>
      </c>
      <c r="G45" s="309"/>
    </row>
    <row r="46" spans="1:7" ht="13.5" customHeight="1">
      <c r="A46" s="9" t="s">
        <v>22</v>
      </c>
      <c r="B46" s="271" t="s">
        <v>472</v>
      </c>
      <c r="C46" s="273"/>
      <c r="D46" s="158" t="s">
        <v>412</v>
      </c>
      <c r="E46" s="192">
        <v>0.06</v>
      </c>
      <c r="F46" s="308">
        <v>1591.11</v>
      </c>
      <c r="G46" s="309"/>
    </row>
    <row r="47" spans="1:7" ht="13.5" customHeight="1">
      <c r="A47" s="9" t="s">
        <v>24</v>
      </c>
      <c r="B47" s="271" t="s">
        <v>473</v>
      </c>
      <c r="C47" s="273"/>
      <c r="D47" s="158" t="s">
        <v>412</v>
      </c>
      <c r="E47" s="192">
        <v>0.03</v>
      </c>
      <c r="F47" s="308">
        <v>9404.57</v>
      </c>
      <c r="G47" s="309"/>
    </row>
    <row r="48" spans="1:9" s="3" customFormat="1" ht="15">
      <c r="A48" s="9" t="s">
        <v>116</v>
      </c>
      <c r="B48" s="271" t="s">
        <v>474</v>
      </c>
      <c r="C48" s="273"/>
      <c r="D48" s="158" t="s">
        <v>412</v>
      </c>
      <c r="E48" s="192">
        <v>0.4</v>
      </c>
      <c r="F48" s="308">
        <v>68917.09</v>
      </c>
      <c r="G48" s="309"/>
      <c r="H48" s="1"/>
      <c r="I48" s="1"/>
    </row>
    <row r="49" spans="1:9" s="3" customFormat="1" ht="15">
      <c r="A49" s="9" t="s">
        <v>117</v>
      </c>
      <c r="B49" s="131" t="s">
        <v>286</v>
      </c>
      <c r="C49" s="132"/>
      <c r="D49" s="158"/>
      <c r="E49" s="158"/>
      <c r="F49" s="294">
        <f>E27*1%</f>
        <v>1261.496</v>
      </c>
      <c r="G49" s="294"/>
      <c r="H49" s="1"/>
      <c r="I49" s="1"/>
    </row>
    <row r="50" s="3" customFormat="1" ht="12.75" customHeight="1"/>
    <row r="51" spans="1:6" s="3" customFormat="1" ht="15">
      <c r="A51" s="3" t="s">
        <v>55</v>
      </c>
      <c r="C51" s="3" t="s">
        <v>49</v>
      </c>
      <c r="F51" s="3" t="s">
        <v>102</v>
      </c>
    </row>
    <row r="52" s="3" customFormat="1" ht="15">
      <c r="F52" s="4" t="s">
        <v>303</v>
      </c>
    </row>
    <row r="53" spans="1:9" ht="15">
      <c r="A53" s="3" t="s">
        <v>50</v>
      </c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14" t="s">
        <v>51</v>
      </c>
      <c r="D54" s="3"/>
      <c r="E54" s="14"/>
      <c r="F54" s="14"/>
      <c r="G54" s="14"/>
      <c r="H54" s="3"/>
      <c r="I54" s="3"/>
    </row>
  </sheetData>
  <sheetProtection/>
  <mergeCells count="27">
    <mergeCell ref="F49:G49"/>
    <mergeCell ref="B46:C46"/>
    <mergeCell ref="B47:C47"/>
    <mergeCell ref="B48:C48"/>
    <mergeCell ref="F48:G48"/>
    <mergeCell ref="F46:G46"/>
    <mergeCell ref="F47:G47"/>
    <mergeCell ref="A39:I39"/>
    <mergeCell ref="F41:G41"/>
    <mergeCell ref="A11:I11"/>
    <mergeCell ref="A13:C13"/>
    <mergeCell ref="A34:C34"/>
    <mergeCell ref="B41:C41"/>
    <mergeCell ref="A1:I1"/>
    <mergeCell ref="A2:I2"/>
    <mergeCell ref="A5:I5"/>
    <mergeCell ref="A10:I10"/>
    <mergeCell ref="A3:K3"/>
    <mergeCell ref="A12:I12"/>
    <mergeCell ref="F42:G42"/>
    <mergeCell ref="F43:G43"/>
    <mergeCell ref="F45:G45"/>
    <mergeCell ref="F44:G44"/>
    <mergeCell ref="B42:C42"/>
    <mergeCell ref="B43:C43"/>
    <mergeCell ref="B44:C44"/>
    <mergeCell ref="B45:C4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M27" sqref="M27"/>
    </sheetView>
  </sheetViews>
  <sheetFormatPr defaultColWidth="9.140625" defaultRowHeight="15" outlineLevelCol="1"/>
  <cols>
    <col min="1" max="1" width="4.7109375" style="1" customWidth="1"/>
    <col min="2" max="2" width="49.28125" style="1" customWidth="1"/>
    <col min="3" max="3" width="13.140625" style="1" customWidth="1"/>
    <col min="4" max="4" width="12.8515625" style="1" customWidth="1"/>
    <col min="5" max="5" width="13.140625" style="1" customWidth="1"/>
    <col min="6" max="6" width="12.8515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1" width="9.140625" style="1" hidden="1" customWidth="1" outlineLevel="1"/>
    <col min="12" max="12" width="0.7187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2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26" t="s">
        <v>139</v>
      </c>
    </row>
    <row r="8" spans="1:6" s="3" customFormat="1" ht="15">
      <c r="A8" s="3" t="s">
        <v>3</v>
      </c>
      <c r="F8" s="4" t="s">
        <v>94</v>
      </c>
    </row>
    <row r="9" s="3" customFormat="1" ht="5.2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1085063.75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29393.06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-88620.88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9.21</v>
      </c>
      <c r="D19" s="146">
        <v>519072.12</v>
      </c>
      <c r="E19" s="146">
        <v>515903</v>
      </c>
      <c r="F19" s="146">
        <f aca="true" t="shared" si="0" ref="F19:F26">D19</f>
        <v>519072.12</v>
      </c>
      <c r="G19" s="147">
        <f aca="true" t="shared" si="1" ref="G19:G28">E19-D19</f>
        <v>-3169.1199999999953</v>
      </c>
      <c r="H19" s="143">
        <f>C19</f>
        <v>9.21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181477.98332247557</v>
      </c>
      <c r="E20" s="67">
        <f>E19*I20</f>
        <v>180369.99565689467</v>
      </c>
      <c r="F20" s="67">
        <f t="shared" si="0"/>
        <v>181477.98332247557</v>
      </c>
      <c r="G20" s="68">
        <f t="shared" si="1"/>
        <v>-1107.9876655809057</v>
      </c>
      <c r="H20" s="143">
        <f>C20</f>
        <v>3.22</v>
      </c>
      <c r="I20" s="15">
        <f>H20/H19</f>
        <v>0.3496199782844734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86230.22188925081</v>
      </c>
      <c r="E21" s="67">
        <f>E19*I21</f>
        <v>85703.75570032572</v>
      </c>
      <c r="F21" s="67">
        <f t="shared" si="0"/>
        <v>86230.22188925081</v>
      </c>
      <c r="G21" s="68">
        <f t="shared" si="1"/>
        <v>-526.4661889250856</v>
      </c>
      <c r="H21" s="143">
        <f>C21</f>
        <v>1.53</v>
      </c>
      <c r="I21" s="15">
        <f>H21/H19</f>
        <v>0.16612377850162866</v>
      </c>
    </row>
    <row r="22" spans="1:9" s="3" customFormat="1" ht="15">
      <c r="A22" s="8" t="s">
        <v>20</v>
      </c>
      <c r="B22" s="9" t="s">
        <v>21</v>
      </c>
      <c r="C22" s="139">
        <v>1.75</v>
      </c>
      <c r="D22" s="67">
        <f>D19*I22</f>
        <v>98629.33876221497</v>
      </c>
      <c r="E22" s="67">
        <f>E19*I22</f>
        <v>98027.17155266013</v>
      </c>
      <c r="F22" s="67">
        <f t="shared" si="0"/>
        <v>98629.33876221497</v>
      </c>
      <c r="G22" s="68">
        <f t="shared" si="1"/>
        <v>-602.167209554842</v>
      </c>
      <c r="H22" s="143">
        <f>C22</f>
        <v>1.75</v>
      </c>
      <c r="I22" s="15">
        <f>H22/H19</f>
        <v>0.19001085776330073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152734.5760260586</v>
      </c>
      <c r="E23" s="67">
        <f>E19*I23</f>
        <v>151802.07709011942</v>
      </c>
      <c r="F23" s="67">
        <f t="shared" si="0"/>
        <v>152734.5760260586</v>
      </c>
      <c r="G23" s="68">
        <f t="shared" si="1"/>
        <v>-932.4989359391911</v>
      </c>
      <c r="H23" s="143">
        <f>C23</f>
        <v>2.71</v>
      </c>
      <c r="I23" s="15">
        <f>H23/H19</f>
        <v>0.29424538545059714</v>
      </c>
    </row>
    <row r="24" spans="1:7" ht="15">
      <c r="A24" s="129" t="s">
        <v>25</v>
      </c>
      <c r="B24" s="151" t="s">
        <v>241</v>
      </c>
      <c r="C24" s="152">
        <v>3.58</v>
      </c>
      <c r="D24" s="147">
        <v>201809.28</v>
      </c>
      <c r="E24" s="147">
        <v>201245.27</v>
      </c>
      <c r="F24" s="147">
        <f t="shared" si="0"/>
        <v>201809.28</v>
      </c>
      <c r="G24" s="147">
        <f>E24-D24</f>
        <v>-564.0100000000093</v>
      </c>
    </row>
    <row r="25" spans="1:7" ht="15">
      <c r="A25" s="129" t="s">
        <v>27</v>
      </c>
      <c r="B25" s="151" t="s">
        <v>28</v>
      </c>
      <c r="C25" s="152">
        <v>0</v>
      </c>
      <c r="D25" s="147">
        <v>0</v>
      </c>
      <c r="E25" s="147">
        <v>17545.27</v>
      </c>
      <c r="F25" s="147">
        <f t="shared" si="0"/>
        <v>0</v>
      </c>
      <c r="G25" s="147">
        <f t="shared" si="1"/>
        <v>17545.27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13" ht="15">
      <c r="A27" s="129" t="s">
        <v>31</v>
      </c>
      <c r="B27" s="151" t="s">
        <v>131</v>
      </c>
      <c r="C27" s="152">
        <v>1.92</v>
      </c>
      <c r="D27" s="147">
        <v>108187.92</v>
      </c>
      <c r="E27" s="147">
        <v>108225.32</v>
      </c>
      <c r="F27" s="153">
        <f>F42</f>
        <v>75497.19320000002</v>
      </c>
      <c r="G27" s="147">
        <f t="shared" si="1"/>
        <v>37.40000000000873</v>
      </c>
      <c r="M27" s="77"/>
    </row>
    <row r="28" spans="1:7" ht="15">
      <c r="A28" s="129" t="s">
        <v>33</v>
      </c>
      <c r="B28" s="36" t="s">
        <v>34</v>
      </c>
      <c r="C28" s="145">
        <v>0</v>
      </c>
      <c r="D28" s="147">
        <v>0</v>
      </c>
      <c r="E28" s="147">
        <v>421.11</v>
      </c>
      <c r="F28" s="153">
        <v>0</v>
      </c>
      <c r="G28" s="147">
        <f t="shared" si="1"/>
        <v>421.11</v>
      </c>
    </row>
    <row r="29" spans="1:7" ht="15">
      <c r="A29" s="129" t="s">
        <v>35</v>
      </c>
      <c r="B29" s="36" t="s">
        <v>36</v>
      </c>
      <c r="C29" s="145"/>
      <c r="D29" s="147">
        <f>SUM(D30:D33)</f>
        <v>3324307.2199999997</v>
      </c>
      <c r="E29" s="147">
        <f>SUM(E30:E33)</f>
        <v>3201826.09</v>
      </c>
      <c r="F29" s="147">
        <f>SUM(F30:F33)</f>
        <v>3324307.2199999997</v>
      </c>
      <c r="G29" s="147">
        <f>SUM(G30:G33)</f>
        <v>-122481.13000000003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100306.98</v>
      </c>
      <c r="E30" s="68">
        <v>99336.51</v>
      </c>
      <c r="F30" s="68">
        <f>D30</f>
        <v>100306.98</v>
      </c>
      <c r="G30" s="68">
        <f>E30-D30</f>
        <v>-970.4700000000012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585177.63</v>
      </c>
      <c r="E31" s="68">
        <v>548407.7</v>
      </c>
      <c r="F31" s="68">
        <f>D31</f>
        <v>585177.63</v>
      </c>
      <c r="G31" s="68">
        <f>E31-D31</f>
        <v>-36769.93000000005</v>
      </c>
    </row>
    <row r="32" spans="1:9" ht="15">
      <c r="A32" s="9" t="s">
        <v>42</v>
      </c>
      <c r="B32" s="9" t="s">
        <v>40</v>
      </c>
      <c r="C32" s="182" t="s">
        <v>346</v>
      </c>
      <c r="D32" s="68">
        <v>918563.88</v>
      </c>
      <c r="E32" s="68">
        <v>842195.14</v>
      </c>
      <c r="F32" s="68">
        <f>D32</f>
        <v>918563.88</v>
      </c>
      <c r="G32" s="68">
        <f>E32-D32</f>
        <v>-76368.73999999999</v>
      </c>
      <c r="H32" s="97"/>
      <c r="I32" s="97"/>
    </row>
    <row r="33" spans="1:7" ht="15.75" thickBot="1">
      <c r="A33" s="9" t="s">
        <v>41</v>
      </c>
      <c r="B33" s="9" t="s">
        <v>43</v>
      </c>
      <c r="C33" s="134" t="s">
        <v>316</v>
      </c>
      <c r="D33" s="68">
        <v>1720258.73</v>
      </c>
      <c r="E33" s="68">
        <v>1711886.74</v>
      </c>
      <c r="F33" s="68">
        <f>D33</f>
        <v>1720258.73</v>
      </c>
      <c r="G33" s="68">
        <f>E33-D33</f>
        <v>-8371.98999999999</v>
      </c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1193274.2300000004</v>
      </c>
      <c r="E34" s="39"/>
      <c r="F34" s="39"/>
      <c r="G34" s="39"/>
      <c r="H34" s="22"/>
      <c r="I34" s="22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29814.170000000002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-55892.75320000002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4.7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SUM(F43:G52)</f>
        <v>75497.19320000002</v>
      </c>
      <c r="G42" s="291"/>
      <c r="H42" s="12"/>
      <c r="I42" s="12"/>
    </row>
    <row r="43" spans="1:9" s="7" customFormat="1" ht="15">
      <c r="A43" s="188" t="s">
        <v>16</v>
      </c>
      <c r="B43" s="275" t="s">
        <v>418</v>
      </c>
      <c r="C43" s="276"/>
      <c r="D43" s="184" t="s">
        <v>416</v>
      </c>
      <c r="E43" s="190">
        <v>0.52</v>
      </c>
      <c r="F43" s="319">
        <v>45004</v>
      </c>
      <c r="G43" s="320"/>
      <c r="H43" s="12"/>
      <c r="I43" s="12"/>
    </row>
    <row r="44" spans="1:9" s="7" customFormat="1" ht="15">
      <c r="A44" s="188" t="s">
        <v>18</v>
      </c>
      <c r="B44" s="275" t="s">
        <v>420</v>
      </c>
      <c r="C44" s="276"/>
      <c r="D44" s="184" t="s">
        <v>416</v>
      </c>
      <c r="E44" s="190">
        <v>0.03</v>
      </c>
      <c r="F44" s="319">
        <v>3076.4</v>
      </c>
      <c r="G44" s="320"/>
      <c r="H44" s="12"/>
      <c r="I44" s="12"/>
    </row>
    <row r="45" spans="1:9" s="7" customFormat="1" ht="15">
      <c r="A45" s="188" t="s">
        <v>20</v>
      </c>
      <c r="B45" s="275" t="s">
        <v>419</v>
      </c>
      <c r="C45" s="276"/>
      <c r="D45" s="184" t="s">
        <v>410</v>
      </c>
      <c r="E45" s="190">
        <v>0.06</v>
      </c>
      <c r="F45" s="319">
        <v>3403</v>
      </c>
      <c r="G45" s="320"/>
      <c r="H45" s="12"/>
      <c r="I45" s="12"/>
    </row>
    <row r="46" spans="1:9" s="7" customFormat="1" ht="15">
      <c r="A46" s="188" t="s">
        <v>22</v>
      </c>
      <c r="B46" s="275" t="s">
        <v>421</v>
      </c>
      <c r="C46" s="276"/>
      <c r="D46" s="184" t="s">
        <v>416</v>
      </c>
      <c r="E46" s="190">
        <v>0.02</v>
      </c>
      <c r="F46" s="319">
        <v>1635.5</v>
      </c>
      <c r="G46" s="320"/>
      <c r="H46" s="12"/>
      <c r="I46" s="12"/>
    </row>
    <row r="47" spans="1:9" s="7" customFormat="1" ht="15">
      <c r="A47" s="188" t="s">
        <v>24</v>
      </c>
      <c r="B47" s="275" t="s">
        <v>422</v>
      </c>
      <c r="C47" s="276"/>
      <c r="D47" s="184" t="s">
        <v>416</v>
      </c>
      <c r="E47" s="190">
        <v>0.15</v>
      </c>
      <c r="F47" s="319">
        <v>13402.32</v>
      </c>
      <c r="G47" s="320"/>
      <c r="H47" s="12"/>
      <c r="I47" s="12"/>
    </row>
    <row r="48" spans="1:9" s="7" customFormat="1" ht="15">
      <c r="A48" s="188" t="s">
        <v>116</v>
      </c>
      <c r="B48" s="275" t="s">
        <v>423</v>
      </c>
      <c r="C48" s="276"/>
      <c r="D48" s="184" t="s">
        <v>410</v>
      </c>
      <c r="E48" s="190">
        <v>0.01</v>
      </c>
      <c r="F48" s="319">
        <v>887</v>
      </c>
      <c r="G48" s="320"/>
      <c r="H48" s="12"/>
      <c r="I48" s="12"/>
    </row>
    <row r="49" spans="1:9" s="7" customFormat="1" ht="15">
      <c r="A49" s="188" t="s">
        <v>117</v>
      </c>
      <c r="B49" s="275" t="s">
        <v>424</v>
      </c>
      <c r="C49" s="276"/>
      <c r="D49" s="184" t="s">
        <v>416</v>
      </c>
      <c r="E49" s="190">
        <v>0.02</v>
      </c>
      <c r="F49" s="319">
        <v>2861.41</v>
      </c>
      <c r="G49" s="320"/>
      <c r="H49" s="12"/>
      <c r="I49" s="12"/>
    </row>
    <row r="50" spans="1:9" s="7" customFormat="1" ht="15">
      <c r="A50" s="188" t="s">
        <v>132</v>
      </c>
      <c r="B50" s="275" t="s">
        <v>425</v>
      </c>
      <c r="C50" s="276"/>
      <c r="D50" s="184" t="s">
        <v>426</v>
      </c>
      <c r="E50" s="190">
        <v>1</v>
      </c>
      <c r="F50" s="319">
        <v>3244.82</v>
      </c>
      <c r="G50" s="320"/>
      <c r="H50" s="12"/>
      <c r="I50" s="12"/>
    </row>
    <row r="51" spans="1:9" s="7" customFormat="1" ht="15">
      <c r="A51" s="188" t="s">
        <v>133</v>
      </c>
      <c r="B51" s="275" t="s">
        <v>427</v>
      </c>
      <c r="C51" s="276"/>
      <c r="D51" s="184" t="s">
        <v>410</v>
      </c>
      <c r="E51" s="190">
        <v>0.01</v>
      </c>
      <c r="F51" s="319">
        <v>900.49</v>
      </c>
      <c r="G51" s="320"/>
      <c r="H51" s="12"/>
      <c r="I51" s="12"/>
    </row>
    <row r="52" spans="1:7" ht="15">
      <c r="A52" s="28" t="s">
        <v>134</v>
      </c>
      <c r="B52" s="131" t="s">
        <v>286</v>
      </c>
      <c r="C52" s="132"/>
      <c r="D52" s="158"/>
      <c r="E52" s="158"/>
      <c r="F52" s="318">
        <f>E27*1%</f>
        <v>1082.2532</v>
      </c>
      <c r="G52" s="318"/>
    </row>
    <row r="53" s="3" customFormat="1" ht="15"/>
    <row r="54" spans="1:6" s="3" customFormat="1" ht="13.5" customHeight="1">
      <c r="A54" s="3" t="s">
        <v>55</v>
      </c>
      <c r="C54" s="3" t="s">
        <v>49</v>
      </c>
      <c r="F54" s="3" t="s">
        <v>102</v>
      </c>
    </row>
    <row r="55" s="3" customFormat="1" ht="13.5" customHeight="1">
      <c r="F55" s="4" t="s">
        <v>303</v>
      </c>
    </row>
    <row r="56" s="3" customFormat="1" ht="11.25" customHeight="1">
      <c r="A56" s="3" t="s">
        <v>50</v>
      </c>
    </row>
    <row r="57" spans="3:7" s="3" customFormat="1" ht="15">
      <c r="C57" s="14" t="s">
        <v>51</v>
      </c>
      <c r="E57" s="14"/>
      <c r="F57" s="14"/>
      <c r="G57" s="14"/>
    </row>
    <row r="58" s="3" customFormat="1" ht="15"/>
  </sheetData>
  <sheetProtection/>
  <mergeCells count="33">
    <mergeCell ref="B51:C51"/>
    <mergeCell ref="F51:G51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F43:G43"/>
    <mergeCell ref="A39:I39"/>
    <mergeCell ref="F42:G42"/>
    <mergeCell ref="A13:C13"/>
    <mergeCell ref="A11:I11"/>
    <mergeCell ref="A12:I12"/>
    <mergeCell ref="B41:C41"/>
    <mergeCell ref="F41:G41"/>
    <mergeCell ref="B42:C42"/>
    <mergeCell ref="F44:G44"/>
    <mergeCell ref="B43:C43"/>
    <mergeCell ref="B44:C44"/>
    <mergeCell ref="F52:G52"/>
    <mergeCell ref="A1:I1"/>
    <mergeCell ref="A2:I2"/>
    <mergeCell ref="A5:I5"/>
    <mergeCell ref="A10:I10"/>
    <mergeCell ref="A3:K3"/>
    <mergeCell ref="A34:C34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B24" sqref="B24"/>
    </sheetView>
  </sheetViews>
  <sheetFormatPr defaultColWidth="9.140625" defaultRowHeight="15" outlineLevelCol="1"/>
  <cols>
    <col min="1" max="1" width="4.7109375" style="1" customWidth="1"/>
    <col min="2" max="2" width="48.421875" style="1" customWidth="1"/>
    <col min="3" max="3" width="13.140625" style="1" customWidth="1"/>
    <col min="4" max="4" width="13.7109375" style="1" customWidth="1"/>
    <col min="5" max="5" width="12.7109375" style="1" customWidth="1"/>
    <col min="6" max="6" width="11.8515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95</v>
      </c>
    </row>
    <row r="8" spans="1:6" s="3" customFormat="1" ht="15">
      <c r="A8" s="3" t="s">
        <v>3</v>
      </c>
      <c r="F8" s="4" t="s">
        <v>188</v>
      </c>
    </row>
    <row r="9" s="3" customFormat="1" ht="4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42471.52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-7051.42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-70619.14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16" s="3" customFormat="1" ht="16.5" customHeight="1">
      <c r="A19" s="163" t="s">
        <v>14</v>
      </c>
      <c r="B19" s="129" t="s">
        <v>15</v>
      </c>
      <c r="C19" s="145">
        <f>C20+C21+C22+C23</f>
        <v>8.93</v>
      </c>
      <c r="D19" s="146">
        <v>166709.04</v>
      </c>
      <c r="E19" s="146">
        <v>166255.44</v>
      </c>
      <c r="F19" s="146">
        <f aca="true" t="shared" si="0" ref="F19:F26">D19</f>
        <v>166709.04</v>
      </c>
      <c r="G19" s="147">
        <f aca="true" t="shared" si="1" ref="G19:G28">E19-D19</f>
        <v>-453.6000000000058</v>
      </c>
      <c r="H19" s="71">
        <f>C19</f>
        <v>8.93</v>
      </c>
      <c r="I19" s="15"/>
      <c r="P19" s="6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60112.33021276596</v>
      </c>
      <c r="E20" s="67">
        <f>E19*I20</f>
        <v>59948.77007838746</v>
      </c>
      <c r="F20" s="67">
        <f t="shared" si="0"/>
        <v>60112.33021276596</v>
      </c>
      <c r="G20" s="68">
        <f t="shared" si="1"/>
        <v>-163.56013437850197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29496.11234042553</v>
      </c>
      <c r="E21" s="67">
        <f>E19*I21</f>
        <v>29415.85612541993</v>
      </c>
      <c r="F21" s="67">
        <f t="shared" si="0"/>
        <v>29496.11234042553</v>
      </c>
      <c r="G21" s="68">
        <f t="shared" si="1"/>
        <v>-80.2562150056001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26509.16425531915</v>
      </c>
      <c r="E22" s="67">
        <f>E19*I22</f>
        <v>26437.035251959685</v>
      </c>
      <c r="F22" s="67">
        <f t="shared" si="0"/>
        <v>26509.16425531915</v>
      </c>
      <c r="G22" s="68">
        <f t="shared" si="1"/>
        <v>-72.12900335946324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50591.43319148936</v>
      </c>
      <c r="E23" s="67">
        <f>E19*I23</f>
        <v>50453.778544232926</v>
      </c>
      <c r="F23" s="67">
        <f t="shared" si="0"/>
        <v>50591.43319148936</v>
      </c>
      <c r="G23" s="68">
        <f t="shared" si="1"/>
        <v>-137.65464725643687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3812.67</v>
      </c>
      <c r="F25" s="147">
        <f t="shared" si="0"/>
        <v>0</v>
      </c>
      <c r="G25" s="147">
        <f t="shared" si="1"/>
        <v>3812.67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32483.16</v>
      </c>
      <c r="E27" s="147">
        <v>32369.87</v>
      </c>
      <c r="F27" s="153">
        <f>F42</f>
        <v>4343.6387</v>
      </c>
      <c r="G27" s="147">
        <f t="shared" si="1"/>
        <v>-113.29000000000087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771968.3999999999</v>
      </c>
      <c r="E29" s="147">
        <f>SUM(E30:E33)</f>
        <v>753974.3999999999</v>
      </c>
      <c r="F29" s="147">
        <f>SUM(F30:F33)</f>
        <v>771968.3999999999</v>
      </c>
      <c r="G29" s="147">
        <f>SUM(G30:G33)</f>
        <v>-17994.000000000015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4041.12</v>
      </c>
      <c r="E30" s="68">
        <v>4026.76</v>
      </c>
      <c r="F30" s="68">
        <f>D30</f>
        <v>4041.12</v>
      </c>
      <c r="G30" s="68">
        <f>E30-D30</f>
        <v>-14.359999999999673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195953.43</v>
      </c>
      <c r="E31" s="68">
        <v>185013.55</v>
      </c>
      <c r="F31" s="68">
        <f>D31</f>
        <v>195953.43</v>
      </c>
      <c r="G31" s="68">
        <f>E31-D31</f>
        <v>-10939.880000000005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571973.85</v>
      </c>
      <c r="E33" s="68">
        <v>564934.09</v>
      </c>
      <c r="F33" s="68">
        <f>D33</f>
        <v>571973.85</v>
      </c>
      <c r="G33" s="68">
        <f>E33-D33</f>
        <v>-7039.760000000009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57219.73999999999</v>
      </c>
      <c r="E34" s="39"/>
      <c r="F34" s="39"/>
      <c r="G34" s="39"/>
      <c r="H34" s="40"/>
      <c r="I34" s="40"/>
      <c r="J34" s="22"/>
    </row>
    <row r="35" spans="1:9" s="15" customFormat="1" ht="8.2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-7051.42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-42592.90870000001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1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28.5" customHeight="1">
      <c r="A42" s="11" t="s">
        <v>47</v>
      </c>
      <c r="B42" s="287" t="s">
        <v>126</v>
      </c>
      <c r="C42" s="288"/>
      <c r="D42" s="157"/>
      <c r="E42" s="157"/>
      <c r="F42" s="295">
        <f>SUM(F43:G44)</f>
        <v>4343.6387</v>
      </c>
      <c r="G42" s="291"/>
      <c r="H42" s="12"/>
      <c r="I42" s="12"/>
    </row>
    <row r="43" spans="1:9" s="7" customFormat="1" ht="15">
      <c r="A43" s="28" t="s">
        <v>16</v>
      </c>
      <c r="B43" s="131" t="s">
        <v>460</v>
      </c>
      <c r="C43" s="132"/>
      <c r="D43" s="158" t="s">
        <v>461</v>
      </c>
      <c r="E43" s="226">
        <v>0.0349</v>
      </c>
      <c r="F43" s="318">
        <v>4019.94</v>
      </c>
      <c r="G43" s="318"/>
      <c r="H43" s="12"/>
      <c r="I43" s="12"/>
    </row>
    <row r="44" spans="1:9" s="12" customFormat="1" ht="13.5" customHeight="1">
      <c r="A44" s="28" t="s">
        <v>18</v>
      </c>
      <c r="B44" s="131" t="s">
        <v>286</v>
      </c>
      <c r="C44" s="132"/>
      <c r="D44" s="158"/>
      <c r="E44" s="158"/>
      <c r="F44" s="318">
        <f>E27*1%</f>
        <v>323.6987</v>
      </c>
      <c r="G44" s="318"/>
      <c r="H44" s="1"/>
      <c r="I44" s="1"/>
    </row>
    <row r="45" spans="1:9" ht="13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A46" s="3" t="s">
        <v>55</v>
      </c>
      <c r="B46" s="3"/>
      <c r="C46" s="3" t="s">
        <v>49</v>
      </c>
      <c r="D46" s="3"/>
      <c r="E46" s="3"/>
      <c r="F46" s="3" t="s">
        <v>102</v>
      </c>
      <c r="G46" s="3"/>
      <c r="H46" s="3"/>
      <c r="I46" s="3"/>
    </row>
    <row r="47" spans="1:9" s="48" customFormat="1" ht="13.5" customHeight="1">
      <c r="A47" s="3"/>
      <c r="B47" s="3"/>
      <c r="C47" s="3"/>
      <c r="D47" s="3"/>
      <c r="E47" s="3"/>
      <c r="F47" s="4" t="s">
        <v>303</v>
      </c>
      <c r="G47" s="3"/>
      <c r="H47" s="3"/>
      <c r="I47" s="3"/>
    </row>
    <row r="48" spans="1:9" s="48" customFormat="1" ht="13.5" customHeight="1">
      <c r="A48" s="3" t="s">
        <v>50</v>
      </c>
      <c r="B48" s="3"/>
      <c r="C48" s="3"/>
      <c r="D48" s="3"/>
      <c r="E48" s="3"/>
      <c r="F48" s="3"/>
      <c r="G48" s="3"/>
      <c r="H48" s="3"/>
      <c r="I48" s="3"/>
    </row>
    <row r="49" spans="1:9" s="48" customFormat="1" ht="13.5" customHeight="1">
      <c r="A49" s="3"/>
      <c r="B49" s="3"/>
      <c r="C49" s="14" t="s">
        <v>51</v>
      </c>
      <c r="D49" s="3"/>
      <c r="E49" s="14"/>
      <c r="F49" s="14"/>
      <c r="G49" s="14"/>
      <c r="H49" s="3"/>
      <c r="I49" s="3"/>
    </row>
    <row r="50" spans="2:5" ht="6.75" customHeight="1">
      <c r="B50" s="13"/>
      <c r="C50" s="13"/>
      <c r="D50" s="13"/>
      <c r="E50" s="13"/>
    </row>
    <row r="51" s="3" customFormat="1" ht="15"/>
  </sheetData>
  <sheetProtection/>
  <mergeCells count="16">
    <mergeCell ref="A11:I11"/>
    <mergeCell ref="A1:I1"/>
    <mergeCell ref="A2:I2"/>
    <mergeCell ref="A5:I5"/>
    <mergeCell ref="A10:I10"/>
    <mergeCell ref="A3:K3"/>
    <mergeCell ref="F44:G44"/>
    <mergeCell ref="A12:I12"/>
    <mergeCell ref="F42:G42"/>
    <mergeCell ref="A13:C13"/>
    <mergeCell ref="A34:C34"/>
    <mergeCell ref="A39:I39"/>
    <mergeCell ref="B41:C41"/>
    <mergeCell ref="F41:G41"/>
    <mergeCell ref="B42:C42"/>
    <mergeCell ref="F43:G43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26" sqref="F26"/>
    </sheetView>
  </sheetViews>
  <sheetFormatPr defaultColWidth="9.140625" defaultRowHeight="15" outlineLevelCol="1"/>
  <cols>
    <col min="1" max="1" width="4.7109375" style="1" customWidth="1"/>
    <col min="2" max="2" width="48.421875" style="1" customWidth="1"/>
    <col min="3" max="3" width="13.140625" style="1" customWidth="1"/>
    <col min="4" max="4" width="13.7109375" style="1" customWidth="1"/>
    <col min="5" max="5" width="12.7109375" style="1" customWidth="1"/>
    <col min="6" max="6" width="11.8515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1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4.5" customHeight="1"/>
    <row r="7" spans="1:6" s="3" customFormat="1" ht="16.5" customHeight="1">
      <c r="A7" s="3" t="s">
        <v>2</v>
      </c>
      <c r="F7" s="4" t="s">
        <v>356</v>
      </c>
    </row>
    <row r="8" spans="1:6" s="3" customFormat="1" ht="15">
      <c r="A8" s="3" t="s">
        <v>3</v>
      </c>
      <c r="F8" s="4" t="s">
        <v>357</v>
      </c>
    </row>
    <row r="9" s="3" customFormat="1" ht="4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358</v>
      </c>
      <c r="B13" s="266"/>
      <c r="C13" s="266"/>
      <c r="D13" s="38">
        <v>0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359</v>
      </c>
      <c r="B15" s="43"/>
      <c r="C15" s="43"/>
      <c r="D15" s="44"/>
      <c r="E15" s="45"/>
      <c r="F15" s="45"/>
      <c r="G15" s="38">
        <v>0</v>
      </c>
      <c r="H15" s="40"/>
      <c r="I15" s="40"/>
    </row>
    <row r="16" s="3" customFormat="1" ht="6.75" customHeight="1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16" s="3" customFormat="1" ht="16.5" customHeight="1">
      <c r="A18" s="163" t="s">
        <v>14</v>
      </c>
      <c r="B18" s="129" t="s">
        <v>15</v>
      </c>
      <c r="C18" s="145">
        <f>C19+C20+C21+C22</f>
        <v>8.93</v>
      </c>
      <c r="D18" s="146">
        <v>142170.24</v>
      </c>
      <c r="E18" s="146">
        <v>104325.92</v>
      </c>
      <c r="F18" s="146">
        <f aca="true" t="shared" si="0" ref="F18:F25">D18</f>
        <v>142170.24</v>
      </c>
      <c r="G18" s="147">
        <f aca="true" t="shared" si="1" ref="G18:G27">E18-D18</f>
        <v>-37844.31999999999</v>
      </c>
      <c r="H18" s="71">
        <f>C18</f>
        <v>8.93</v>
      </c>
      <c r="I18" s="15"/>
      <c r="P18" s="65"/>
    </row>
    <row r="19" spans="1:9" s="3" customFormat="1" ht="15">
      <c r="A19" s="8" t="s">
        <v>16</v>
      </c>
      <c r="B19" s="9" t="s">
        <v>17</v>
      </c>
      <c r="C19" s="139">
        <v>3.22</v>
      </c>
      <c r="D19" s="67">
        <f>D18*I19</f>
        <v>51264.0731019037</v>
      </c>
      <c r="E19" s="67">
        <f>E18*I19</f>
        <v>37618.08089585666</v>
      </c>
      <c r="F19" s="67">
        <f t="shared" si="0"/>
        <v>51264.0731019037</v>
      </c>
      <c r="G19" s="68">
        <f t="shared" si="1"/>
        <v>-13645.992206047034</v>
      </c>
      <c r="H19" s="71">
        <f>C19</f>
        <v>3.22</v>
      </c>
      <c r="I19" s="15">
        <f>H19/H18</f>
        <v>0.3605823068309071</v>
      </c>
    </row>
    <row r="20" spans="1:9" s="3" customFormat="1" ht="15">
      <c r="A20" s="8" t="s">
        <v>18</v>
      </c>
      <c r="B20" s="9" t="s">
        <v>19</v>
      </c>
      <c r="C20" s="139">
        <f>1.43+0.15</f>
        <v>1.5799999999999998</v>
      </c>
      <c r="D20" s="67">
        <f>D18*I20</f>
        <v>25154.420963045908</v>
      </c>
      <c r="E20" s="67">
        <f>E18*I20</f>
        <v>18458.561433370658</v>
      </c>
      <c r="F20" s="67">
        <f t="shared" si="0"/>
        <v>25154.420963045908</v>
      </c>
      <c r="G20" s="68">
        <f t="shared" si="1"/>
        <v>-6695.85952967525</v>
      </c>
      <c r="H20" s="71">
        <f>C20</f>
        <v>1.5799999999999998</v>
      </c>
      <c r="I20" s="15">
        <f>H20/H18</f>
        <v>0.17693169092945127</v>
      </c>
    </row>
    <row r="21" spans="1:9" s="3" customFormat="1" ht="15">
      <c r="A21" s="8" t="s">
        <v>20</v>
      </c>
      <c r="B21" s="9" t="s">
        <v>21</v>
      </c>
      <c r="C21" s="139">
        <f>1.89-0.47</f>
        <v>1.42</v>
      </c>
      <c r="D21" s="67">
        <f>D18*I21</f>
        <v>22607.137827547587</v>
      </c>
      <c r="E21" s="67">
        <f>E18*I21</f>
        <v>16589.340022396416</v>
      </c>
      <c r="F21" s="67">
        <f t="shared" si="0"/>
        <v>22607.137827547587</v>
      </c>
      <c r="G21" s="68">
        <f t="shared" si="1"/>
        <v>-6017.797805151171</v>
      </c>
      <c r="H21" s="71">
        <f>C21</f>
        <v>1.42</v>
      </c>
      <c r="I21" s="15">
        <f>H21/H18</f>
        <v>0.15901455767077266</v>
      </c>
    </row>
    <row r="22" spans="1:9" s="3" customFormat="1" ht="15">
      <c r="A22" s="8" t="s">
        <v>22</v>
      </c>
      <c r="B22" s="9" t="s">
        <v>23</v>
      </c>
      <c r="C22" s="139">
        <v>2.71</v>
      </c>
      <c r="D22" s="67">
        <f>D18*I22</f>
        <v>43144.6081075028</v>
      </c>
      <c r="E22" s="67">
        <f>E18*I22</f>
        <v>31659.93764837626</v>
      </c>
      <c r="F22" s="67">
        <f t="shared" si="0"/>
        <v>43144.6081075028</v>
      </c>
      <c r="G22" s="68">
        <f t="shared" si="1"/>
        <v>-11484.670459126537</v>
      </c>
      <c r="H22" s="71">
        <f>C22</f>
        <v>2.71</v>
      </c>
      <c r="I22" s="15">
        <f>H22/H18</f>
        <v>0.303471444568869</v>
      </c>
    </row>
    <row r="23" spans="1:7" ht="15">
      <c r="A23" s="129" t="s">
        <v>25</v>
      </c>
      <c r="B23" s="151" t="s">
        <v>167</v>
      </c>
      <c r="C23" s="198">
        <v>0</v>
      </c>
      <c r="D23" s="147">
        <v>0</v>
      </c>
      <c r="E23" s="147">
        <v>0</v>
      </c>
      <c r="F23" s="147">
        <f t="shared" si="0"/>
        <v>0</v>
      </c>
      <c r="G23" s="147">
        <f t="shared" si="1"/>
        <v>0</v>
      </c>
    </row>
    <row r="24" spans="1:7" ht="15">
      <c r="A24" s="129" t="s">
        <v>27</v>
      </c>
      <c r="B24" s="151" t="s">
        <v>28</v>
      </c>
      <c r="C24" s="175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29</v>
      </c>
      <c r="B25" s="151" t="s">
        <v>230</v>
      </c>
      <c r="C25" s="152">
        <v>0</v>
      </c>
      <c r="D25" s="147">
        <v>0</v>
      </c>
      <c r="E25" s="147">
        <v>0</v>
      </c>
      <c r="F25" s="147">
        <f t="shared" si="0"/>
        <v>0</v>
      </c>
      <c r="G25" s="147">
        <f t="shared" si="1"/>
        <v>0</v>
      </c>
    </row>
    <row r="26" spans="1:7" ht="15">
      <c r="A26" s="129" t="s">
        <v>31</v>
      </c>
      <c r="B26" s="151" t="s">
        <v>131</v>
      </c>
      <c r="C26" s="175">
        <v>5</v>
      </c>
      <c r="D26" s="147">
        <v>79602.5</v>
      </c>
      <c r="E26" s="147">
        <v>58413.19</v>
      </c>
      <c r="F26" s="153">
        <f>F40</f>
        <v>10584.1319</v>
      </c>
      <c r="G26" s="147">
        <f t="shared" si="1"/>
        <v>-21189.309999999998</v>
      </c>
    </row>
    <row r="27" spans="1:7" ht="15">
      <c r="A27" s="129" t="s">
        <v>33</v>
      </c>
      <c r="B27" s="36" t="s">
        <v>34</v>
      </c>
      <c r="C27" s="198">
        <v>0</v>
      </c>
      <c r="D27" s="147">
        <v>0</v>
      </c>
      <c r="E27" s="147">
        <v>0</v>
      </c>
      <c r="F27" s="153">
        <v>0</v>
      </c>
      <c r="G27" s="147">
        <f t="shared" si="1"/>
        <v>0</v>
      </c>
    </row>
    <row r="28" spans="1:7" ht="15">
      <c r="A28" s="129" t="s">
        <v>35</v>
      </c>
      <c r="B28" s="36" t="s">
        <v>36</v>
      </c>
      <c r="C28" s="175"/>
      <c r="D28" s="147">
        <f>SUM(D29:D32)</f>
        <v>180489</v>
      </c>
      <c r="E28" s="147">
        <f>SUM(E29:E32)</f>
        <v>127423.68999999999</v>
      </c>
      <c r="F28" s="147">
        <f>SUM(F29:F32)</f>
        <v>180489</v>
      </c>
      <c r="G28" s="147">
        <f>SUM(G29:G32)</f>
        <v>-53065.31000000002</v>
      </c>
    </row>
    <row r="29" spans="1:7" ht="15">
      <c r="A29" s="9" t="s">
        <v>37</v>
      </c>
      <c r="B29" s="9" t="s">
        <v>235</v>
      </c>
      <c r="C29" s="134" t="s">
        <v>315</v>
      </c>
      <c r="D29" s="68">
        <v>4133.11</v>
      </c>
      <c r="E29" s="68">
        <v>3035.93</v>
      </c>
      <c r="F29" s="68">
        <f>D29</f>
        <v>4133.11</v>
      </c>
      <c r="G29" s="68">
        <f>E29-D29</f>
        <v>-1097.1799999999998</v>
      </c>
    </row>
    <row r="30" spans="1:7" ht="15">
      <c r="A30" s="9" t="s">
        <v>39</v>
      </c>
      <c r="B30" s="9" t="s">
        <v>168</v>
      </c>
      <c r="C30" s="134" t="s">
        <v>314</v>
      </c>
      <c r="D30" s="68">
        <v>176355.89</v>
      </c>
      <c r="E30" s="68">
        <v>124387.76</v>
      </c>
      <c r="F30" s="68">
        <f>D30</f>
        <v>176355.89</v>
      </c>
      <c r="G30" s="68">
        <f>E30-D30</f>
        <v>-51968.13000000002</v>
      </c>
    </row>
    <row r="31" spans="1:7" ht="15">
      <c r="A31" s="9" t="s">
        <v>42</v>
      </c>
      <c r="B31" s="9" t="s">
        <v>40</v>
      </c>
      <c r="C31" s="182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ht="15.75" thickBot="1">
      <c r="A32" s="9" t="s">
        <v>41</v>
      </c>
      <c r="B32" s="9" t="s">
        <v>43</v>
      </c>
      <c r="C32" s="234">
        <v>0</v>
      </c>
      <c r="D32" s="222">
        <v>0</v>
      </c>
      <c r="E32" s="222">
        <v>0</v>
      </c>
      <c r="F32" s="68">
        <f>D32</f>
        <v>0</v>
      </c>
      <c r="G32" s="68">
        <f>E32-D32</f>
        <v>0</v>
      </c>
      <c r="H32" s="22"/>
      <c r="I32" s="22"/>
    </row>
    <row r="33" spans="1:10" s="20" customFormat="1" ht="14.25" thickBot="1">
      <c r="A33" s="265" t="s">
        <v>299</v>
      </c>
      <c r="B33" s="266"/>
      <c r="C33" s="266"/>
      <c r="D33" s="73">
        <f>D13+D18+D23+D24+D25+D26+D27+D28-E18-E23-E24-E25-E26-E27-E28</f>
        <v>112098.94000000002</v>
      </c>
      <c r="E33" s="39"/>
      <c r="F33" s="39"/>
      <c r="G33" s="39"/>
      <c r="H33" s="40"/>
      <c r="I33" s="40"/>
      <c r="J33" s="22"/>
    </row>
    <row r="34" spans="1:9" s="15" customFormat="1" ht="8.25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G15+E26-F26</f>
        <v>47829.0581</v>
      </c>
      <c r="H35" s="40"/>
      <c r="I35" s="40"/>
    </row>
    <row r="36" spans="1:9" s="15" customFormat="1" ht="15">
      <c r="A36" s="89"/>
      <c r="B36" s="41"/>
      <c r="C36" s="41"/>
      <c r="D36" s="42"/>
      <c r="E36" s="39"/>
      <c r="F36" s="39"/>
      <c r="G36" s="42"/>
      <c r="H36" s="40"/>
      <c r="I36" s="40"/>
    </row>
    <row r="37" spans="1:9" s="15" customFormat="1" ht="31.5" customHeight="1">
      <c r="A37" s="316" t="s">
        <v>44</v>
      </c>
      <c r="B37" s="316"/>
      <c r="C37" s="316"/>
      <c r="D37" s="316"/>
      <c r="E37" s="316"/>
      <c r="F37" s="316"/>
      <c r="G37" s="316"/>
      <c r="H37" s="316"/>
      <c r="I37" s="316"/>
    </row>
    <row r="39" spans="1:9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7"/>
      <c r="I39" s="7"/>
    </row>
    <row r="40" spans="1:9" s="7" customFormat="1" ht="28.5" customHeight="1">
      <c r="A40" s="11" t="s">
        <v>47</v>
      </c>
      <c r="B40" s="287" t="s">
        <v>126</v>
      </c>
      <c r="C40" s="288"/>
      <c r="D40" s="157"/>
      <c r="E40" s="157"/>
      <c r="F40" s="295">
        <f>SUM(F41:L42)</f>
        <v>10584.1319</v>
      </c>
      <c r="G40" s="291"/>
      <c r="H40" s="12"/>
      <c r="I40" s="12"/>
    </row>
    <row r="41" spans="1:9" s="7" customFormat="1" ht="15">
      <c r="A41" s="28" t="s">
        <v>16</v>
      </c>
      <c r="B41" s="131" t="s">
        <v>464</v>
      </c>
      <c r="C41" s="132"/>
      <c r="D41" s="158" t="s">
        <v>238</v>
      </c>
      <c r="E41" s="158">
        <v>10</v>
      </c>
      <c r="F41" s="318">
        <v>10000</v>
      </c>
      <c r="G41" s="318"/>
      <c r="H41" s="12"/>
      <c r="I41" s="12"/>
    </row>
    <row r="42" spans="1:9" s="12" customFormat="1" ht="13.5" customHeight="1">
      <c r="A42" s="28" t="s">
        <v>18</v>
      </c>
      <c r="B42" s="131" t="s">
        <v>286</v>
      </c>
      <c r="C42" s="132"/>
      <c r="D42" s="158"/>
      <c r="E42" s="158"/>
      <c r="F42" s="318">
        <f>E26*1%</f>
        <v>584.1319000000001</v>
      </c>
      <c r="G42" s="318"/>
      <c r="H42" s="1"/>
      <c r="I42" s="1"/>
    </row>
    <row r="43" spans="1:9" ht="13.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3.5" customHeight="1">
      <c r="A44" s="3" t="s">
        <v>55</v>
      </c>
      <c r="B44" s="3"/>
      <c r="C44" s="3" t="s">
        <v>49</v>
      </c>
      <c r="D44" s="3"/>
      <c r="E44" s="3"/>
      <c r="F44" s="3" t="s">
        <v>102</v>
      </c>
      <c r="G44" s="3"/>
      <c r="H44" s="3"/>
      <c r="I44" s="3"/>
    </row>
    <row r="45" spans="1:9" s="48" customFormat="1" ht="13.5" customHeight="1">
      <c r="A45" s="3"/>
      <c r="B45" s="3"/>
      <c r="C45" s="3"/>
      <c r="D45" s="3"/>
      <c r="E45" s="3"/>
      <c r="F45" s="4" t="s">
        <v>303</v>
      </c>
      <c r="G45" s="3"/>
      <c r="H45" s="3"/>
      <c r="I45" s="3"/>
    </row>
    <row r="46" spans="1:9" s="48" customFormat="1" ht="13.5" customHeight="1">
      <c r="A46" s="3" t="s">
        <v>50</v>
      </c>
      <c r="B46" s="3"/>
      <c r="C46" s="3"/>
      <c r="D46" s="3"/>
      <c r="E46" s="3"/>
      <c r="F46" s="3"/>
      <c r="G46" s="3"/>
      <c r="H46" s="3"/>
      <c r="I46" s="3"/>
    </row>
    <row r="47" spans="1:9" s="48" customFormat="1" ht="13.5" customHeight="1">
      <c r="A47" s="3"/>
      <c r="B47" s="3"/>
      <c r="C47" s="14" t="s">
        <v>51</v>
      </c>
      <c r="D47" s="3"/>
      <c r="E47" s="14"/>
      <c r="F47" s="14"/>
      <c r="G47" s="14"/>
      <c r="H47" s="3"/>
      <c r="I47" s="3"/>
    </row>
    <row r="48" spans="2:5" ht="6.75" customHeight="1">
      <c r="B48" s="13"/>
      <c r="C48" s="13"/>
      <c r="D48" s="13"/>
      <c r="E48" s="13"/>
    </row>
    <row r="49" s="3" customFormat="1" ht="15"/>
  </sheetData>
  <sheetProtection/>
  <mergeCells count="16">
    <mergeCell ref="A1:I1"/>
    <mergeCell ref="A2:I2"/>
    <mergeCell ref="A3:K3"/>
    <mergeCell ref="A5:I5"/>
    <mergeCell ref="A10:I10"/>
    <mergeCell ref="A11:I11"/>
    <mergeCell ref="B40:C40"/>
    <mergeCell ref="F40:G40"/>
    <mergeCell ref="F42:G42"/>
    <mergeCell ref="A12:I12"/>
    <mergeCell ref="A13:C13"/>
    <mergeCell ref="A33:C33"/>
    <mergeCell ref="A37:I37"/>
    <mergeCell ref="B39:C39"/>
    <mergeCell ref="F39:G39"/>
    <mergeCell ref="F41:G41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7109375" style="1" customWidth="1"/>
    <col min="2" max="2" width="48.140625" style="1" customWidth="1"/>
    <col min="3" max="3" width="13.00390625" style="1" customWidth="1"/>
    <col min="4" max="4" width="13.140625" style="1" customWidth="1"/>
    <col min="5" max="5" width="12.7109375" style="1" customWidth="1"/>
    <col min="6" max="6" width="13.140625" style="1" customWidth="1"/>
    <col min="7" max="7" width="13.8515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" customHeight="1"/>
    <row r="7" spans="1:6" s="3" customFormat="1" ht="16.5" customHeight="1">
      <c r="A7" s="3" t="s">
        <v>2</v>
      </c>
      <c r="F7" s="4" t="s">
        <v>96</v>
      </c>
    </row>
    <row r="8" spans="1:6" s="3" customFormat="1" ht="15">
      <c r="A8" s="3" t="s">
        <v>3</v>
      </c>
      <c r="F8" s="4" t="s">
        <v>97</v>
      </c>
    </row>
    <row r="9" s="3" customFormat="1" ht="4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583116.15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13836.37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-34967.95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8.93</v>
      </c>
      <c r="D19" s="146">
        <v>209936.34</v>
      </c>
      <c r="E19" s="146">
        <v>220998.95</v>
      </c>
      <c r="F19" s="146">
        <f aca="true" t="shared" si="0" ref="F19:F26">D19</f>
        <v>209936.34</v>
      </c>
      <c r="G19" s="147">
        <f aca="true" t="shared" si="1" ref="G19:G28">E19-D19</f>
        <v>11062.610000000015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75699.32976483763</v>
      </c>
      <c r="E20" s="67">
        <f>E19*I20</f>
        <v>79688.31119820829</v>
      </c>
      <c r="F20" s="67">
        <f t="shared" si="0"/>
        <v>75699.32976483763</v>
      </c>
      <c r="G20" s="68">
        <f t="shared" si="1"/>
        <v>3988.98143337066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37144.39162374019</v>
      </c>
      <c r="E21" s="67">
        <f>E19*I21</f>
        <v>39101.717917133254</v>
      </c>
      <c r="F21" s="67">
        <f t="shared" si="0"/>
        <v>37144.39162374019</v>
      </c>
      <c r="G21" s="68">
        <f t="shared" si="1"/>
        <v>1957.32629339306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33382.93424412094</v>
      </c>
      <c r="E22" s="67">
        <f>E19*I22</f>
        <v>35142.050279955205</v>
      </c>
      <c r="F22" s="67">
        <f t="shared" si="0"/>
        <v>33382.93424412094</v>
      </c>
      <c r="G22" s="68">
        <f t="shared" si="1"/>
        <v>1759.1160358342677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63709.68436730123</v>
      </c>
      <c r="E23" s="67">
        <f>E19*I23</f>
        <v>67066.87060470325</v>
      </c>
      <c r="F23" s="67">
        <f t="shared" si="0"/>
        <v>63709.68436730123</v>
      </c>
      <c r="G23" s="68">
        <f t="shared" si="1"/>
        <v>3357.186237402013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18486.93</v>
      </c>
      <c r="F25" s="147">
        <f t="shared" si="0"/>
        <v>0</v>
      </c>
      <c r="G25" s="147">
        <f t="shared" si="1"/>
        <v>18486.93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40905.59</v>
      </c>
      <c r="E27" s="147">
        <v>43664.14</v>
      </c>
      <c r="F27" s="153">
        <f>F42</f>
        <v>32787.6414</v>
      </c>
      <c r="G27" s="147">
        <f t="shared" si="1"/>
        <v>2758.550000000003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1089237.18</v>
      </c>
      <c r="E29" s="147">
        <f>SUM(E30:E33)</f>
        <v>1175312.8599999999</v>
      </c>
      <c r="F29" s="147">
        <f>SUM(F30:F33)</f>
        <v>1089237.18</v>
      </c>
      <c r="G29" s="147">
        <f>SUM(G30:G33)</f>
        <v>86075.68000000005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13322.66</v>
      </c>
      <c r="E30" s="68">
        <v>14066.23</v>
      </c>
      <c r="F30" s="68">
        <f>D30</f>
        <v>13322.66</v>
      </c>
      <c r="G30" s="68">
        <f>E30-D30</f>
        <v>743.5699999999997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299159.17</v>
      </c>
      <c r="E31" s="68">
        <v>351044.12</v>
      </c>
      <c r="F31" s="68">
        <f>D31</f>
        <v>299159.17</v>
      </c>
      <c r="G31" s="68">
        <f>E31-D31</f>
        <v>51884.95000000001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15.75" thickBot="1">
      <c r="A33" s="9" t="s">
        <v>41</v>
      </c>
      <c r="B33" s="9" t="s">
        <v>43</v>
      </c>
      <c r="C33" s="134" t="s">
        <v>316</v>
      </c>
      <c r="D33" s="68">
        <v>776755.35</v>
      </c>
      <c r="E33" s="68">
        <v>810202.51</v>
      </c>
      <c r="F33" s="68">
        <f>D33</f>
        <v>776755.35</v>
      </c>
      <c r="G33" s="68">
        <f>E33-D33</f>
        <v>33447.16000000003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464732.3800000001</v>
      </c>
      <c r="E34" s="39"/>
      <c r="F34" s="39"/>
      <c r="G34" s="39"/>
      <c r="H34" s="40"/>
      <c r="I34" s="40"/>
      <c r="J34" s="22"/>
    </row>
    <row r="35" spans="1:9" s="15" customFormat="1" ht="7.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13836.37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-24091.451399999998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1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SUM(F43:G44)</f>
        <v>32787.6414</v>
      </c>
      <c r="G42" s="291"/>
      <c r="H42" s="12"/>
      <c r="I42" s="12"/>
    </row>
    <row r="43" spans="1:9" s="7" customFormat="1" ht="15">
      <c r="A43" s="28" t="s">
        <v>16</v>
      </c>
      <c r="B43" s="275" t="s">
        <v>465</v>
      </c>
      <c r="C43" s="276"/>
      <c r="D43" s="184" t="s">
        <v>412</v>
      </c>
      <c r="E43" s="184">
        <v>0.02</v>
      </c>
      <c r="F43" s="325">
        <v>32351</v>
      </c>
      <c r="G43" s="326"/>
      <c r="H43" s="12"/>
      <c r="I43" s="12"/>
    </row>
    <row r="44" spans="1:9" s="12" customFormat="1" ht="13.5" customHeight="1">
      <c r="A44" s="28" t="s">
        <v>18</v>
      </c>
      <c r="B44" s="131" t="s">
        <v>286</v>
      </c>
      <c r="C44" s="132"/>
      <c r="D44" s="158"/>
      <c r="E44" s="158"/>
      <c r="F44" s="318">
        <f>E27*1%</f>
        <v>436.6414</v>
      </c>
      <c r="G44" s="318"/>
      <c r="H44" s="1"/>
      <c r="I44" s="1"/>
    </row>
    <row r="45" spans="1:9" ht="13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A46" s="3" t="s">
        <v>55</v>
      </c>
      <c r="B46" s="3"/>
      <c r="C46" s="3" t="s">
        <v>49</v>
      </c>
      <c r="D46" s="3"/>
      <c r="E46" s="3"/>
      <c r="F46" s="3" t="s">
        <v>102</v>
      </c>
      <c r="G46" s="3"/>
      <c r="H46" s="3"/>
      <c r="I46" s="3"/>
    </row>
    <row r="47" spans="1:9" ht="13.5" customHeight="1">
      <c r="A47" s="3"/>
      <c r="B47" s="3"/>
      <c r="C47" s="3"/>
      <c r="D47" s="3"/>
      <c r="E47" s="3"/>
      <c r="F47" s="4" t="s">
        <v>303</v>
      </c>
      <c r="G47" s="3"/>
      <c r="H47" s="3"/>
      <c r="I47" s="3"/>
    </row>
    <row r="48" spans="1:9" ht="13.5" customHeight="1">
      <c r="A48" s="3" t="s">
        <v>50</v>
      </c>
      <c r="B48" s="3"/>
      <c r="C48" s="3"/>
      <c r="D48" s="3"/>
      <c r="E48" s="3"/>
      <c r="F48" s="3"/>
      <c r="G48" s="3"/>
      <c r="H48" s="3"/>
      <c r="I48" s="3"/>
    </row>
    <row r="49" spans="3:7" s="3" customFormat="1" ht="15">
      <c r="C49" s="14" t="s">
        <v>51</v>
      </c>
      <c r="E49" s="14"/>
      <c r="F49" s="14"/>
      <c r="G49" s="14"/>
    </row>
    <row r="50" spans="1:9" s="3" customFormat="1" ht="15">
      <c r="A50" s="1"/>
      <c r="B50" s="13"/>
      <c r="C50" s="13"/>
      <c r="D50" s="13"/>
      <c r="E50" s="13"/>
      <c r="F50" s="1"/>
      <c r="G50" s="1"/>
      <c r="H50" s="1"/>
      <c r="I50" s="1"/>
    </row>
    <row r="51" s="3" customFormat="1" ht="13.5" customHeight="1"/>
  </sheetData>
  <sheetProtection/>
  <mergeCells count="17">
    <mergeCell ref="A13:C13"/>
    <mergeCell ref="F42:G42"/>
    <mergeCell ref="A34:C34"/>
    <mergeCell ref="A39:I39"/>
    <mergeCell ref="B41:C41"/>
    <mergeCell ref="F41:G41"/>
    <mergeCell ref="B42:C42"/>
    <mergeCell ref="B43:C43"/>
    <mergeCell ref="F43:G43"/>
    <mergeCell ref="F44:G44"/>
    <mergeCell ref="A1:I1"/>
    <mergeCell ref="A2:I2"/>
    <mergeCell ref="A5:I5"/>
    <mergeCell ref="A10:I10"/>
    <mergeCell ref="A3:K3"/>
    <mergeCell ref="A11:I11"/>
    <mergeCell ref="A12:I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23" customWidth="1"/>
    <col min="2" max="2" width="24.8515625" style="23" customWidth="1"/>
    <col min="3" max="3" width="8.00390625" style="23" customWidth="1"/>
    <col min="4" max="4" width="10.140625" style="23" customWidth="1"/>
    <col min="5" max="5" width="10.8515625" style="23" customWidth="1"/>
    <col min="6" max="6" width="10.57421875" style="23" customWidth="1"/>
    <col min="7" max="7" width="11.28125" style="23" customWidth="1"/>
    <col min="8" max="8" width="10.140625" style="23" customWidth="1"/>
    <col min="9" max="9" width="10.421875" style="23" customWidth="1"/>
    <col min="10" max="11" width="9.140625" style="23" hidden="1" customWidth="1" outlineLevel="1"/>
    <col min="12" max="12" width="9.140625" style="23" customWidth="1" collapsed="1"/>
    <col min="13" max="16384" width="9.140625" style="23" customWidth="1"/>
  </cols>
  <sheetData>
    <row r="1" spans="1:9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</row>
    <row r="3" spans="1:9" ht="12.75">
      <c r="A3" s="274" t="s">
        <v>108</v>
      </c>
      <c r="B3" s="274"/>
      <c r="C3" s="274"/>
      <c r="D3" s="274"/>
      <c r="E3" s="274"/>
      <c r="F3" s="274"/>
      <c r="G3" s="274"/>
      <c r="H3" s="274"/>
      <c r="I3" s="27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67" t="s">
        <v>1</v>
      </c>
      <c r="B5" s="274"/>
      <c r="C5" s="274"/>
      <c r="D5" s="274"/>
      <c r="E5" s="274"/>
      <c r="F5" s="274"/>
      <c r="G5" s="274"/>
      <c r="H5" s="274"/>
      <c r="I5" s="274"/>
    </row>
    <row r="7" spans="1:6" s="25" customFormat="1" ht="12.75">
      <c r="A7" s="25" t="s">
        <v>2</v>
      </c>
      <c r="F7" s="26" t="s">
        <v>53</v>
      </c>
    </row>
    <row r="8" spans="1:6" s="25" customFormat="1" ht="12.75">
      <c r="A8" s="25" t="s">
        <v>3</v>
      </c>
      <c r="F8" s="26" t="s">
        <v>54</v>
      </c>
    </row>
    <row r="9" s="25" customFormat="1" ht="12.75">
      <c r="A9" s="25" t="s">
        <v>4</v>
      </c>
    </row>
    <row r="10" spans="1:6" s="25" customFormat="1" ht="12.75">
      <c r="A10" s="25" t="s">
        <v>5</v>
      </c>
      <c r="F10" s="26" t="s">
        <v>6</v>
      </c>
    </row>
    <row r="11" spans="1:6" s="25" customFormat="1" ht="12.75">
      <c r="A11" s="25" t="s">
        <v>7</v>
      </c>
      <c r="F11" s="26" t="s">
        <v>6</v>
      </c>
    </row>
    <row r="12" s="25" customFormat="1" ht="12.75"/>
    <row r="13" spans="1:9" s="25" customFormat="1" ht="12.75">
      <c r="A13" s="264" t="s">
        <v>8</v>
      </c>
      <c r="B13" s="264"/>
      <c r="C13" s="264"/>
      <c r="D13" s="264"/>
      <c r="E13" s="264"/>
      <c r="F13" s="264"/>
      <c r="G13" s="264"/>
      <c r="H13" s="264"/>
      <c r="I13" s="264"/>
    </row>
    <row r="14" spans="1:9" s="25" customFormat="1" ht="12.75">
      <c r="A14" s="264" t="s">
        <v>9</v>
      </c>
      <c r="B14" s="264"/>
      <c r="C14" s="264"/>
      <c r="D14" s="264"/>
      <c r="E14" s="264"/>
      <c r="F14" s="264"/>
      <c r="G14" s="264"/>
      <c r="H14" s="264"/>
      <c r="I14" s="264"/>
    </row>
    <row r="15" spans="1:9" s="25" customFormat="1" ht="12.75">
      <c r="A15" s="264" t="s">
        <v>10</v>
      </c>
      <c r="B15" s="264"/>
      <c r="C15" s="264"/>
      <c r="D15" s="264"/>
      <c r="E15" s="264"/>
      <c r="F15" s="264"/>
      <c r="G15" s="264"/>
      <c r="H15" s="264"/>
      <c r="I15" s="264"/>
    </row>
    <row r="16" s="25" customFormat="1" ht="12.75"/>
    <row r="17" spans="1:9" s="18" customFormat="1" ht="51">
      <c r="A17" s="6" t="s">
        <v>11</v>
      </c>
      <c r="B17" s="6" t="s">
        <v>12</v>
      </c>
      <c r="C17" s="6" t="s">
        <v>103</v>
      </c>
      <c r="D17" s="6" t="s">
        <v>13</v>
      </c>
      <c r="E17" s="6" t="s">
        <v>98</v>
      </c>
      <c r="F17" s="6" t="s">
        <v>99</v>
      </c>
      <c r="G17" s="17" t="s">
        <v>100</v>
      </c>
      <c r="H17" s="6" t="s">
        <v>101</v>
      </c>
      <c r="I17" s="6" t="s">
        <v>114</v>
      </c>
    </row>
    <row r="18" spans="1:11" s="25" customFormat="1" ht="25.5">
      <c r="A18" s="27" t="s">
        <v>14</v>
      </c>
      <c r="B18" s="28" t="s">
        <v>15</v>
      </c>
      <c r="C18" s="29">
        <v>6.75</v>
      </c>
      <c r="D18" s="27">
        <v>-25096.32</v>
      </c>
      <c r="E18" s="27">
        <v>174103.45</v>
      </c>
      <c r="F18" s="30">
        <v>169317.59</v>
      </c>
      <c r="G18" s="30">
        <f>E18</f>
        <v>174103.45</v>
      </c>
      <c r="H18" s="31">
        <f aca="true" t="shared" si="0" ref="H18:H33">D18+F18-G18</f>
        <v>-29882.180000000022</v>
      </c>
      <c r="I18" s="31">
        <f aca="true" t="shared" si="1" ref="I18:I33">F18-E18</f>
        <v>-4785.860000000015</v>
      </c>
      <c r="J18" s="32">
        <v>6.75</v>
      </c>
      <c r="K18" s="32"/>
    </row>
    <row r="19" spans="1:11" s="25" customFormat="1" ht="25.5">
      <c r="A19" s="27" t="s">
        <v>16</v>
      </c>
      <c r="B19" s="28" t="s">
        <v>17</v>
      </c>
      <c r="C19" s="29">
        <v>2.41</v>
      </c>
      <c r="D19" s="30">
        <v>-8687.19</v>
      </c>
      <c r="E19" s="30">
        <f>E18*K19</f>
        <v>62161.37992592593</v>
      </c>
      <c r="F19" s="30">
        <f>F18*K19</f>
        <v>60452.65065185185</v>
      </c>
      <c r="G19" s="30">
        <f>E19</f>
        <v>62161.37992592593</v>
      </c>
      <c r="H19" s="31">
        <f t="shared" si="0"/>
        <v>-10395.919274074084</v>
      </c>
      <c r="I19" s="31">
        <f t="shared" si="1"/>
        <v>-1708.7292740740813</v>
      </c>
      <c r="J19" s="32">
        <v>2.41</v>
      </c>
      <c r="K19" s="32">
        <f>J19/J18</f>
        <v>0.35703703703703704</v>
      </c>
    </row>
    <row r="20" spans="1:11" s="25" customFormat="1" ht="25.5">
      <c r="A20" s="27" t="s">
        <v>18</v>
      </c>
      <c r="B20" s="28" t="s">
        <v>19</v>
      </c>
      <c r="C20" s="29">
        <v>1.2</v>
      </c>
      <c r="D20" s="30">
        <v>-4918.14</v>
      </c>
      <c r="E20" s="30">
        <f>E18*K20</f>
        <v>30951.724444444448</v>
      </c>
      <c r="F20" s="30">
        <f>F18*K20</f>
        <v>30100.90488888889</v>
      </c>
      <c r="G20" s="30">
        <f>E20</f>
        <v>30951.724444444448</v>
      </c>
      <c r="H20" s="31">
        <f t="shared" si="0"/>
        <v>-5768.959555555557</v>
      </c>
      <c r="I20" s="31">
        <f t="shared" si="1"/>
        <v>-850.8195555555576</v>
      </c>
      <c r="J20" s="32">
        <v>1.2</v>
      </c>
      <c r="K20" s="32">
        <f>J20/J18</f>
        <v>0.17777777777777778</v>
      </c>
    </row>
    <row r="21" spans="1:11" s="25" customFormat="1" ht="25.5">
      <c r="A21" s="27" t="s">
        <v>20</v>
      </c>
      <c r="B21" s="28" t="s">
        <v>21</v>
      </c>
      <c r="C21" s="29">
        <v>1.51</v>
      </c>
      <c r="D21" s="30">
        <v>-6113.21</v>
      </c>
      <c r="E21" s="30">
        <f>E18*K21</f>
        <v>38947.5865925926</v>
      </c>
      <c r="F21" s="30">
        <f>F18*K21</f>
        <v>37876.971985185184</v>
      </c>
      <c r="G21" s="30">
        <f>E21</f>
        <v>38947.5865925926</v>
      </c>
      <c r="H21" s="31">
        <f t="shared" si="0"/>
        <v>-7183.824607407412</v>
      </c>
      <c r="I21" s="31">
        <f t="shared" si="1"/>
        <v>-1070.6146074074131</v>
      </c>
      <c r="J21" s="32">
        <v>1.51</v>
      </c>
      <c r="K21" s="32">
        <f>J21/J18</f>
        <v>0.2237037037037037</v>
      </c>
    </row>
    <row r="22" spans="1:11" s="25" customFormat="1" ht="25.5">
      <c r="A22" s="27" t="s">
        <v>22</v>
      </c>
      <c r="B22" s="28" t="s">
        <v>23</v>
      </c>
      <c r="C22" s="29">
        <v>1.63</v>
      </c>
      <c r="D22" s="30">
        <v>-5377.78</v>
      </c>
      <c r="E22" s="30">
        <f>E18*K22</f>
        <v>42042.75903703704</v>
      </c>
      <c r="F22" s="30">
        <f>F18*K22</f>
        <v>40887.06247407407</v>
      </c>
      <c r="G22" s="30">
        <f>E22</f>
        <v>42042.75903703704</v>
      </c>
      <c r="H22" s="31">
        <f t="shared" si="0"/>
        <v>-6533.476562962969</v>
      </c>
      <c r="I22" s="31">
        <f t="shared" si="1"/>
        <v>-1155.6965629629703</v>
      </c>
      <c r="J22" s="32">
        <v>1.63</v>
      </c>
      <c r="K22" s="32">
        <f>J22/J18</f>
        <v>0.24148148148148146</v>
      </c>
    </row>
    <row r="23" spans="1:9" ht="12.75">
      <c r="A23" s="28" t="s">
        <v>25</v>
      </c>
      <c r="B23" s="28" t="s">
        <v>26</v>
      </c>
      <c r="C23" s="29">
        <v>3.15</v>
      </c>
      <c r="D23" s="28">
        <v>0</v>
      </c>
      <c r="E23" s="28">
        <v>0</v>
      </c>
      <c r="F23" s="31">
        <v>0</v>
      </c>
      <c r="G23" s="31">
        <v>0</v>
      </c>
      <c r="H23" s="31">
        <f t="shared" si="0"/>
        <v>0</v>
      </c>
      <c r="I23" s="31">
        <f t="shared" si="1"/>
        <v>0</v>
      </c>
    </row>
    <row r="24" spans="1:9" ht="12.75">
      <c r="A24" s="28" t="s">
        <v>27</v>
      </c>
      <c r="B24" s="28" t="s">
        <v>28</v>
      </c>
      <c r="C24" s="16">
        <v>2.6</v>
      </c>
      <c r="D24" s="28">
        <v>-6439.37</v>
      </c>
      <c r="E24" s="28">
        <v>59389.92</v>
      </c>
      <c r="F24" s="31">
        <v>57568.62</v>
      </c>
      <c r="G24" s="31">
        <f>E24</f>
        <v>59389.92</v>
      </c>
      <c r="H24" s="31">
        <f t="shared" si="0"/>
        <v>-8260.669999999998</v>
      </c>
      <c r="I24" s="31">
        <f t="shared" si="1"/>
        <v>-1821.2999999999956</v>
      </c>
    </row>
    <row r="25" spans="1:9" ht="12.75" customHeight="1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v>0</v>
      </c>
      <c r="H25" s="28">
        <f t="shared" si="0"/>
        <v>0</v>
      </c>
      <c r="I25" s="28">
        <f t="shared" si="1"/>
        <v>0</v>
      </c>
    </row>
    <row r="26" spans="1:9" ht="25.5">
      <c r="A26" s="28" t="s">
        <v>31</v>
      </c>
      <c r="B26" s="28" t="s">
        <v>32</v>
      </c>
      <c r="C26" s="29">
        <v>1.61</v>
      </c>
      <c r="D26" s="28">
        <v>-28369.61</v>
      </c>
      <c r="E26" s="28">
        <v>65703.01</v>
      </c>
      <c r="F26" s="28">
        <v>65330.4</v>
      </c>
      <c r="G26" s="28">
        <v>24581.67</v>
      </c>
      <c r="H26" s="28">
        <f>D26+F26-G26</f>
        <v>12379.120000000003</v>
      </c>
      <c r="I26" s="28">
        <f>F26-E26</f>
        <v>-372.6099999999933</v>
      </c>
    </row>
    <row r="27" spans="1:9" s="37" customFormat="1" ht="12.75">
      <c r="A27" s="335" t="s">
        <v>115</v>
      </c>
      <c r="B27" s="336"/>
      <c r="C27" s="35"/>
      <c r="D27" s="36">
        <f aca="true" t="shared" si="2" ref="D27:I27">D18+D23+D24+D25+D26</f>
        <v>-59905.3</v>
      </c>
      <c r="E27" s="36">
        <f t="shared" si="2"/>
        <v>299196.38</v>
      </c>
      <c r="F27" s="36">
        <f t="shared" si="2"/>
        <v>292216.61</v>
      </c>
      <c r="G27" s="36">
        <f t="shared" si="2"/>
        <v>258075.03999999998</v>
      </c>
      <c r="H27" s="36">
        <f t="shared" si="2"/>
        <v>-25763.730000000018</v>
      </c>
      <c r="I27" s="36">
        <f t="shared" si="2"/>
        <v>-6979.770000000004</v>
      </c>
    </row>
    <row r="28" spans="1:9" ht="25.5">
      <c r="A28" s="28" t="s">
        <v>33</v>
      </c>
      <c r="B28" s="28" t="s">
        <v>34</v>
      </c>
      <c r="C28" s="29">
        <v>0</v>
      </c>
      <c r="D28" s="28">
        <v>21203.4</v>
      </c>
      <c r="E28" s="28">
        <v>0</v>
      </c>
      <c r="F28" s="28">
        <v>42.57</v>
      </c>
      <c r="G28" s="28">
        <v>0</v>
      </c>
      <c r="H28" s="28">
        <f t="shared" si="0"/>
        <v>21245.97</v>
      </c>
      <c r="I28" s="28">
        <f t="shared" si="1"/>
        <v>42.57</v>
      </c>
    </row>
    <row r="29" spans="1:9" ht="25.5">
      <c r="A29" s="28" t="s">
        <v>35</v>
      </c>
      <c r="B29" s="28" t="s">
        <v>36</v>
      </c>
      <c r="C29" s="29">
        <f aca="true" t="shared" si="3" ref="C29:I29">SUM(C30:C33)</f>
        <v>1680.9299999999998</v>
      </c>
      <c r="D29" s="28">
        <f t="shared" si="3"/>
        <v>-101927.91</v>
      </c>
      <c r="E29" s="28">
        <f t="shared" si="3"/>
        <v>1158486.7</v>
      </c>
      <c r="F29" s="28">
        <f t="shared" si="3"/>
        <v>1093856.12</v>
      </c>
      <c r="G29" s="28">
        <f t="shared" si="3"/>
        <v>1144236.6</v>
      </c>
      <c r="H29" s="28">
        <f t="shared" si="3"/>
        <v>-152308.38999999996</v>
      </c>
      <c r="I29" s="28">
        <f t="shared" si="3"/>
        <v>-64630.57999999995</v>
      </c>
    </row>
    <row r="30" spans="1:9" ht="12.75">
      <c r="A30" s="28" t="s">
        <v>37</v>
      </c>
      <c r="B30" s="28" t="s">
        <v>106</v>
      </c>
      <c r="C30" s="16">
        <v>3.13</v>
      </c>
      <c r="D30" s="28">
        <v>-5404.73</v>
      </c>
      <c r="E30" s="28">
        <v>14250.1</v>
      </c>
      <c r="F30" s="28">
        <v>16846.06</v>
      </c>
      <c r="G30" s="28"/>
      <c r="H30" s="28">
        <f t="shared" si="0"/>
        <v>11441.330000000002</v>
      </c>
      <c r="I30" s="28">
        <f t="shared" si="1"/>
        <v>2595.960000000001</v>
      </c>
    </row>
    <row r="31" spans="1:9" ht="12.75">
      <c r="A31" s="28" t="s">
        <v>39</v>
      </c>
      <c r="B31" s="28" t="s">
        <v>38</v>
      </c>
      <c r="C31" s="16">
        <v>18.21</v>
      </c>
      <c r="D31" s="28">
        <v>-13533.66</v>
      </c>
      <c r="E31" s="28">
        <v>202200.89</v>
      </c>
      <c r="F31" s="28">
        <v>195379.97</v>
      </c>
      <c r="G31" s="28">
        <f>E31</f>
        <v>202200.89</v>
      </c>
      <c r="H31" s="28">
        <f t="shared" si="0"/>
        <v>-20354.580000000016</v>
      </c>
      <c r="I31" s="28">
        <f t="shared" si="1"/>
        <v>-6820.920000000013</v>
      </c>
    </row>
    <row r="32" spans="1:9" ht="12.75">
      <c r="A32" s="28" t="s">
        <v>42</v>
      </c>
      <c r="B32" s="28" t="s">
        <v>40</v>
      </c>
      <c r="C32" s="16">
        <v>115.3</v>
      </c>
      <c r="D32" s="28">
        <v>-22785.21</v>
      </c>
      <c r="E32" s="28">
        <v>350895.14</v>
      </c>
      <c r="F32" s="28">
        <v>322914.71</v>
      </c>
      <c r="G32" s="28">
        <f>E32</f>
        <v>350895.14</v>
      </c>
      <c r="H32" s="28">
        <f t="shared" si="0"/>
        <v>-50765.640000000014</v>
      </c>
      <c r="I32" s="28">
        <f t="shared" si="1"/>
        <v>-27980.429999999993</v>
      </c>
    </row>
    <row r="33" spans="1:9" ht="12.75">
      <c r="A33" s="28" t="s">
        <v>41</v>
      </c>
      <c r="B33" s="28" t="s">
        <v>43</v>
      </c>
      <c r="C33" s="16">
        <v>1544.29</v>
      </c>
      <c r="D33" s="28">
        <v>-60204.31</v>
      </c>
      <c r="E33" s="28">
        <v>591140.57</v>
      </c>
      <c r="F33" s="28">
        <v>558715.38</v>
      </c>
      <c r="G33" s="28">
        <f>E33</f>
        <v>591140.57</v>
      </c>
      <c r="H33" s="28">
        <f t="shared" si="0"/>
        <v>-92629.49999999994</v>
      </c>
      <c r="I33" s="28">
        <f t="shared" si="1"/>
        <v>-32425.189999999944</v>
      </c>
    </row>
    <row r="34" spans="1:11" s="20" customFormat="1" ht="15" customHeight="1">
      <c r="A34" s="332" t="s">
        <v>107</v>
      </c>
      <c r="B34" s="333"/>
      <c r="C34" s="334"/>
      <c r="D34" s="19">
        <f aca="true" t="shared" si="4" ref="D34:K34">D18+D23+D24+D25+D29</f>
        <v>-133463.6</v>
      </c>
      <c r="E34" s="19">
        <f t="shared" si="4"/>
        <v>1391980.0699999998</v>
      </c>
      <c r="F34" s="19">
        <f t="shared" si="4"/>
        <v>1320742.33</v>
      </c>
      <c r="G34" s="19">
        <f t="shared" si="4"/>
        <v>1377729.9700000002</v>
      </c>
      <c r="H34" s="19">
        <f t="shared" si="4"/>
        <v>-190451.24</v>
      </c>
      <c r="I34" s="19">
        <f t="shared" si="4"/>
        <v>-71237.73999999996</v>
      </c>
      <c r="J34" s="19">
        <f t="shared" si="4"/>
        <v>6.75</v>
      </c>
      <c r="K34" s="19">
        <f t="shared" si="4"/>
        <v>0</v>
      </c>
    </row>
    <row r="35" spans="1:11" s="20" customFormat="1" ht="11.25" customHeight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</row>
    <row r="36" spans="1:9" ht="23.25" customHeight="1">
      <c r="A36" s="267" t="s">
        <v>44</v>
      </c>
      <c r="B36" s="267"/>
      <c r="C36" s="267"/>
      <c r="D36" s="267"/>
      <c r="E36" s="267"/>
      <c r="F36" s="267"/>
      <c r="G36" s="267"/>
      <c r="H36" s="267"/>
      <c r="I36" s="267"/>
    </row>
    <row r="38" spans="1:7" s="18" customFormat="1" ht="28.5" customHeight="1">
      <c r="A38" s="6" t="s">
        <v>11</v>
      </c>
      <c r="B38" s="268" t="s">
        <v>45</v>
      </c>
      <c r="C38" s="269"/>
      <c r="D38" s="269"/>
      <c r="E38" s="270"/>
      <c r="F38" s="268" t="s">
        <v>46</v>
      </c>
      <c r="G38" s="331"/>
    </row>
    <row r="39" spans="1:7" s="20" customFormat="1" ht="13.5">
      <c r="A39" s="33" t="s">
        <v>47</v>
      </c>
      <c r="B39" s="327" t="s">
        <v>48</v>
      </c>
      <c r="C39" s="328"/>
      <c r="D39" s="328"/>
      <c r="E39" s="329"/>
      <c r="F39" s="330">
        <f>SUM(F40:G43)</f>
        <v>24581.67</v>
      </c>
      <c r="G39" s="331"/>
    </row>
    <row r="40" spans="1:7" ht="15.75" customHeight="1">
      <c r="A40" s="28" t="s">
        <v>16</v>
      </c>
      <c r="B40" s="271" t="s">
        <v>111</v>
      </c>
      <c r="C40" s="272"/>
      <c r="D40" s="272"/>
      <c r="E40" s="273"/>
      <c r="F40" s="318">
        <v>1007.78</v>
      </c>
      <c r="G40" s="318"/>
    </row>
    <row r="41" spans="1:7" ht="15.75" customHeight="1">
      <c r="A41" s="28" t="s">
        <v>18</v>
      </c>
      <c r="B41" s="271" t="s">
        <v>110</v>
      </c>
      <c r="C41" s="272"/>
      <c r="D41" s="272"/>
      <c r="E41" s="273"/>
      <c r="F41" s="318">
        <v>10480.41</v>
      </c>
      <c r="G41" s="318"/>
    </row>
    <row r="42" spans="1:7" ht="15.75" customHeight="1">
      <c r="A42" s="28" t="s">
        <v>20</v>
      </c>
      <c r="B42" s="271" t="s">
        <v>112</v>
      </c>
      <c r="C42" s="272"/>
      <c r="D42" s="272"/>
      <c r="E42" s="273"/>
      <c r="F42" s="318">
        <v>3847.63</v>
      </c>
      <c r="G42" s="318"/>
    </row>
    <row r="43" spans="1:7" ht="15.75" customHeight="1">
      <c r="A43" s="28" t="s">
        <v>22</v>
      </c>
      <c r="B43" s="271" t="s">
        <v>113</v>
      </c>
      <c r="C43" s="272"/>
      <c r="D43" s="272"/>
      <c r="E43" s="273"/>
      <c r="F43" s="318">
        <v>9245.85</v>
      </c>
      <c r="G43" s="318"/>
    </row>
    <row r="44" spans="2:5" ht="12.75">
      <c r="B44" s="13"/>
      <c r="C44" s="13"/>
      <c r="D44" s="13"/>
      <c r="E44" s="13"/>
    </row>
    <row r="45" s="25" customFormat="1" ht="12.75"/>
    <row r="46" spans="1:8" s="25" customFormat="1" ht="12.75">
      <c r="A46" s="25" t="s">
        <v>55</v>
      </c>
      <c r="F46" s="25" t="s">
        <v>49</v>
      </c>
      <c r="H46" s="25" t="s">
        <v>102</v>
      </c>
    </row>
    <row r="47" s="25" customFormat="1" ht="12.75"/>
    <row r="48" s="25" customFormat="1" ht="12.75">
      <c r="F48" s="26" t="s">
        <v>109</v>
      </c>
    </row>
    <row r="49" s="25" customFormat="1" ht="12.75"/>
    <row r="50" s="25" customFormat="1" ht="12.75">
      <c r="A50" s="25" t="s">
        <v>50</v>
      </c>
    </row>
    <row r="51" spans="4:8" s="25" customFormat="1" ht="12.75">
      <c r="D51" s="34" t="s">
        <v>51</v>
      </c>
      <c r="F51" s="34"/>
      <c r="G51" s="34"/>
      <c r="H51" s="34"/>
    </row>
    <row r="52" s="25" customFormat="1" ht="12.75"/>
    <row r="53" s="25" customFormat="1" ht="12.75"/>
  </sheetData>
  <sheetProtection/>
  <mergeCells count="22">
    <mergeCell ref="B40:E40"/>
    <mergeCell ref="F40:G40"/>
    <mergeCell ref="B41:E41"/>
    <mergeCell ref="F41:G41"/>
    <mergeCell ref="B43:E43"/>
    <mergeCell ref="F43:G43"/>
    <mergeCell ref="B42:E42"/>
    <mergeCell ref="F42:G42"/>
    <mergeCell ref="B39:E39"/>
    <mergeCell ref="F39:G39"/>
    <mergeCell ref="A15:I15"/>
    <mergeCell ref="A34:C34"/>
    <mergeCell ref="A36:I36"/>
    <mergeCell ref="B38:E38"/>
    <mergeCell ref="F38:G38"/>
    <mergeCell ref="A27:B27"/>
    <mergeCell ref="A14:I14"/>
    <mergeCell ref="A1:I1"/>
    <mergeCell ref="A2:I2"/>
    <mergeCell ref="A3:I3"/>
    <mergeCell ref="A5:I5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23" customWidth="1"/>
    <col min="2" max="2" width="29.28125" style="23" customWidth="1"/>
    <col min="3" max="3" width="11.421875" style="23" customWidth="1"/>
    <col min="4" max="4" width="13.28125" style="23" customWidth="1"/>
    <col min="5" max="5" width="14.57421875" style="23" customWidth="1"/>
    <col min="6" max="6" width="13.421875" style="23" customWidth="1"/>
    <col min="7" max="7" width="14.00390625" style="23" customWidth="1"/>
    <col min="8" max="8" width="10.140625" style="23" hidden="1" customWidth="1" outlineLevel="1"/>
    <col min="9" max="9" width="10.421875" style="23" hidden="1" customWidth="1" outlineLevel="1"/>
    <col min="10" max="11" width="9.140625" style="23" hidden="1" customWidth="1" outlineLevel="1"/>
    <col min="12" max="12" width="9.140625" style="23" customWidth="1" collapsed="1"/>
    <col min="13" max="16384" width="9.140625" style="23" customWidth="1"/>
  </cols>
  <sheetData>
    <row r="1" spans="1:9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</row>
    <row r="3" spans="1:9" ht="12.75">
      <c r="A3" s="274" t="s">
        <v>108</v>
      </c>
      <c r="B3" s="274"/>
      <c r="C3" s="274"/>
      <c r="D3" s="274"/>
      <c r="E3" s="274"/>
      <c r="F3" s="274"/>
      <c r="G3" s="274"/>
      <c r="H3" s="274"/>
      <c r="I3" s="27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67" t="s">
        <v>1</v>
      </c>
      <c r="B5" s="274"/>
      <c r="C5" s="274"/>
      <c r="D5" s="274"/>
      <c r="E5" s="274"/>
      <c r="F5" s="274"/>
      <c r="G5" s="274"/>
      <c r="H5" s="274"/>
      <c r="I5" s="274"/>
    </row>
    <row r="7" spans="1:6" s="25" customFormat="1" ht="12.75">
      <c r="A7" s="25" t="s">
        <v>2</v>
      </c>
      <c r="F7" s="26" t="s">
        <v>53</v>
      </c>
    </row>
    <row r="8" spans="1:6" s="25" customFormat="1" ht="12.75">
      <c r="A8" s="25" t="s">
        <v>3</v>
      </c>
      <c r="F8" s="26" t="s">
        <v>54</v>
      </c>
    </row>
    <row r="9" s="25" customFormat="1" ht="12.75">
      <c r="A9" s="25" t="s">
        <v>4</v>
      </c>
    </row>
    <row r="10" spans="1:6" s="25" customFormat="1" ht="12.75">
      <c r="A10" s="25" t="s">
        <v>5</v>
      </c>
      <c r="F10" s="26" t="s">
        <v>6</v>
      </c>
    </row>
    <row r="11" spans="1:6" s="25" customFormat="1" ht="12.75">
      <c r="A11" s="25" t="s">
        <v>7</v>
      </c>
      <c r="F11" s="26" t="s">
        <v>6</v>
      </c>
    </row>
    <row r="12" s="25" customFormat="1" ht="12.75"/>
    <row r="13" spans="1:9" s="25" customFormat="1" ht="12.75">
      <c r="A13" s="264" t="s">
        <v>8</v>
      </c>
      <c r="B13" s="264"/>
      <c r="C13" s="264"/>
      <c r="D13" s="264"/>
      <c r="E13" s="264"/>
      <c r="F13" s="264"/>
      <c r="G13" s="264"/>
      <c r="H13" s="264"/>
      <c r="I13" s="264"/>
    </row>
    <row r="14" spans="1:9" s="25" customFormat="1" ht="12.75">
      <c r="A14" s="264" t="s">
        <v>9</v>
      </c>
      <c r="B14" s="264"/>
      <c r="C14" s="264"/>
      <c r="D14" s="264"/>
      <c r="E14" s="264"/>
      <c r="F14" s="264"/>
      <c r="G14" s="264"/>
      <c r="H14" s="264"/>
      <c r="I14" s="264"/>
    </row>
    <row r="15" spans="1:9" s="25" customFormat="1" ht="12.75">
      <c r="A15" s="264" t="s">
        <v>10</v>
      </c>
      <c r="B15" s="264"/>
      <c r="C15" s="264"/>
      <c r="D15" s="264"/>
      <c r="E15" s="264"/>
      <c r="F15" s="264"/>
      <c r="G15" s="264"/>
      <c r="H15" s="264"/>
      <c r="I15" s="264"/>
    </row>
    <row r="16" s="25" customFormat="1" ht="12.75"/>
    <row r="17" spans="1:7" s="18" customFormat="1" ht="51">
      <c r="A17" s="6" t="s">
        <v>11</v>
      </c>
      <c r="B17" s="6" t="s">
        <v>12</v>
      </c>
      <c r="C17" s="6" t="s">
        <v>103</v>
      </c>
      <c r="D17" s="6" t="s">
        <v>98</v>
      </c>
      <c r="E17" s="6" t="s">
        <v>99</v>
      </c>
      <c r="F17" s="17" t="s">
        <v>100</v>
      </c>
      <c r="G17" s="6" t="s">
        <v>114</v>
      </c>
    </row>
    <row r="18" spans="1:9" s="25" customFormat="1" ht="25.5">
      <c r="A18" s="27" t="s">
        <v>14</v>
      </c>
      <c r="B18" s="28" t="s">
        <v>15</v>
      </c>
      <c r="C18" s="29">
        <v>6.75</v>
      </c>
      <c r="D18" s="27">
        <v>174103.45</v>
      </c>
      <c r="E18" s="30">
        <v>169317.59</v>
      </c>
      <c r="F18" s="30">
        <f>D18</f>
        <v>174103.45</v>
      </c>
      <c r="G18" s="31">
        <f aca="true" t="shared" si="0" ref="G18:G27">E18-D18</f>
        <v>-4785.860000000015</v>
      </c>
      <c r="H18" s="32">
        <v>6.75</v>
      </c>
      <c r="I18" s="32"/>
    </row>
    <row r="19" spans="1:9" s="25" customFormat="1" ht="25.5">
      <c r="A19" s="27" t="s">
        <v>16</v>
      </c>
      <c r="B19" s="28" t="s">
        <v>17</v>
      </c>
      <c r="C19" s="29">
        <v>2.41</v>
      </c>
      <c r="D19" s="30">
        <f>D18*I19</f>
        <v>62161.37992592593</v>
      </c>
      <c r="E19" s="30">
        <f>E18*I19</f>
        <v>60452.65065185185</v>
      </c>
      <c r="F19" s="30">
        <f>D19</f>
        <v>62161.37992592593</v>
      </c>
      <c r="G19" s="31">
        <f t="shared" si="0"/>
        <v>-1708.7292740740813</v>
      </c>
      <c r="H19" s="32">
        <v>2.41</v>
      </c>
      <c r="I19" s="32">
        <f>H19/H18</f>
        <v>0.35703703703703704</v>
      </c>
    </row>
    <row r="20" spans="1:9" s="25" customFormat="1" ht="25.5">
      <c r="A20" s="27" t="s">
        <v>18</v>
      </c>
      <c r="B20" s="28" t="s">
        <v>19</v>
      </c>
      <c r="C20" s="29">
        <v>1.2</v>
      </c>
      <c r="D20" s="30">
        <f>D18*I20</f>
        <v>30951.724444444448</v>
      </c>
      <c r="E20" s="30">
        <f>E18*I20</f>
        <v>30100.90488888889</v>
      </c>
      <c r="F20" s="30">
        <f>D20</f>
        <v>30951.724444444448</v>
      </c>
      <c r="G20" s="31">
        <f t="shared" si="0"/>
        <v>-850.8195555555576</v>
      </c>
      <c r="H20" s="32">
        <v>1.2</v>
      </c>
      <c r="I20" s="32">
        <f>H20/H18</f>
        <v>0.17777777777777778</v>
      </c>
    </row>
    <row r="21" spans="1:9" s="25" customFormat="1" ht="12.75">
      <c r="A21" s="27" t="s">
        <v>20</v>
      </c>
      <c r="B21" s="28" t="s">
        <v>21</v>
      </c>
      <c r="C21" s="29">
        <v>1.51</v>
      </c>
      <c r="D21" s="30">
        <f>D18*I21</f>
        <v>38947.5865925926</v>
      </c>
      <c r="E21" s="30">
        <f>E18*I21</f>
        <v>37876.971985185184</v>
      </c>
      <c r="F21" s="30">
        <f>D21</f>
        <v>38947.5865925926</v>
      </c>
      <c r="G21" s="31">
        <f t="shared" si="0"/>
        <v>-1070.6146074074131</v>
      </c>
      <c r="H21" s="32">
        <v>1.51</v>
      </c>
      <c r="I21" s="32">
        <f>H21/H18</f>
        <v>0.2237037037037037</v>
      </c>
    </row>
    <row r="22" spans="1:9" s="25" customFormat="1" ht="25.5">
      <c r="A22" s="27" t="s">
        <v>22</v>
      </c>
      <c r="B22" s="28" t="s">
        <v>23</v>
      </c>
      <c r="C22" s="29">
        <v>1.63</v>
      </c>
      <c r="D22" s="30">
        <f>D18*I22</f>
        <v>42042.75903703704</v>
      </c>
      <c r="E22" s="30">
        <f>E18*I22</f>
        <v>40887.06247407407</v>
      </c>
      <c r="F22" s="30">
        <f>D22</f>
        <v>42042.75903703704</v>
      </c>
      <c r="G22" s="31">
        <f t="shared" si="0"/>
        <v>-1155.6965629629703</v>
      </c>
      <c r="H22" s="32">
        <v>1.63</v>
      </c>
      <c r="I22" s="32">
        <f>H22/H18</f>
        <v>0.24148148148148146</v>
      </c>
    </row>
    <row r="23" spans="1:7" ht="12.75">
      <c r="A23" s="28" t="s">
        <v>25</v>
      </c>
      <c r="B23" s="28" t="s">
        <v>26</v>
      </c>
      <c r="C23" s="29">
        <v>3.15</v>
      </c>
      <c r="D23" s="28">
        <v>0</v>
      </c>
      <c r="E23" s="31">
        <v>0</v>
      </c>
      <c r="F23" s="31">
        <v>0</v>
      </c>
      <c r="G23" s="31">
        <f t="shared" si="0"/>
        <v>0</v>
      </c>
    </row>
    <row r="24" spans="1:7" ht="12.75">
      <c r="A24" s="28" t="s">
        <v>27</v>
      </c>
      <c r="B24" s="28" t="s">
        <v>28</v>
      </c>
      <c r="C24" s="16">
        <v>2.6</v>
      </c>
      <c r="D24" s="28">
        <v>59389.92</v>
      </c>
      <c r="E24" s="31">
        <v>57568.62</v>
      </c>
      <c r="F24" s="31">
        <f>D24</f>
        <v>59389.92</v>
      </c>
      <c r="G24" s="31">
        <f t="shared" si="0"/>
        <v>-1821.2999999999956</v>
      </c>
    </row>
    <row r="25" spans="1:7" ht="12.75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f t="shared" si="0"/>
        <v>0</v>
      </c>
    </row>
    <row r="26" spans="1:7" ht="25.5">
      <c r="A26" s="28" t="s">
        <v>31</v>
      </c>
      <c r="B26" s="28" t="s">
        <v>32</v>
      </c>
      <c r="C26" s="29">
        <v>1.61</v>
      </c>
      <c r="D26" s="28">
        <v>65703.01</v>
      </c>
      <c r="E26" s="28">
        <v>65330.4</v>
      </c>
      <c r="F26" s="28">
        <v>24581.67</v>
      </c>
      <c r="G26" s="28">
        <f t="shared" si="0"/>
        <v>-372.6099999999933</v>
      </c>
    </row>
    <row r="27" spans="1:7" ht="25.5">
      <c r="A27" s="28" t="s">
        <v>33</v>
      </c>
      <c r="B27" s="28" t="s">
        <v>34</v>
      </c>
      <c r="C27" s="29">
        <v>0</v>
      </c>
      <c r="D27" s="28">
        <v>0</v>
      </c>
      <c r="E27" s="28">
        <v>42.57</v>
      </c>
      <c r="F27" s="28">
        <v>0</v>
      </c>
      <c r="G27" s="28">
        <f t="shared" si="0"/>
        <v>42.57</v>
      </c>
    </row>
    <row r="28" spans="1:7" ht="25.5">
      <c r="A28" s="28" t="s">
        <v>35</v>
      </c>
      <c r="B28" s="28" t="s">
        <v>36</v>
      </c>
      <c r="C28" s="29">
        <f>SUM(C29:C32)</f>
        <v>1680.9299999999998</v>
      </c>
      <c r="D28" s="28">
        <f>SUM(D29:D32)</f>
        <v>1158486.7</v>
      </c>
      <c r="E28" s="28">
        <f>SUM(E29:E32)</f>
        <v>1093856.12</v>
      </c>
      <c r="F28" s="28">
        <f>SUM(F29:F32)</f>
        <v>1144236.6</v>
      </c>
      <c r="G28" s="28">
        <f>SUM(G29:G32)</f>
        <v>-64630.57999999995</v>
      </c>
    </row>
    <row r="29" spans="1:7" ht="12.75">
      <c r="A29" s="28" t="s">
        <v>37</v>
      </c>
      <c r="B29" s="28" t="s">
        <v>106</v>
      </c>
      <c r="C29" s="16">
        <v>3.13</v>
      </c>
      <c r="D29" s="28">
        <v>14250.1</v>
      </c>
      <c r="E29" s="28">
        <v>16846.06</v>
      </c>
      <c r="F29" s="28"/>
      <c r="G29" s="28">
        <f>E29-D29</f>
        <v>2595.960000000001</v>
      </c>
    </row>
    <row r="30" spans="1:7" ht="12.75">
      <c r="A30" s="28" t="s">
        <v>39</v>
      </c>
      <c r="B30" s="28" t="s">
        <v>38</v>
      </c>
      <c r="C30" s="16">
        <v>18.21</v>
      </c>
      <c r="D30" s="28">
        <v>202200.89</v>
      </c>
      <c r="E30" s="28">
        <v>195379.97</v>
      </c>
      <c r="F30" s="28">
        <f>D30</f>
        <v>202200.89</v>
      </c>
      <c r="G30" s="28">
        <f>E30-D30</f>
        <v>-6820.920000000013</v>
      </c>
    </row>
    <row r="31" spans="1:7" ht="12.75">
      <c r="A31" s="28" t="s">
        <v>42</v>
      </c>
      <c r="B31" s="28" t="s">
        <v>40</v>
      </c>
      <c r="C31" s="16">
        <v>115.3</v>
      </c>
      <c r="D31" s="28">
        <v>350895.14</v>
      </c>
      <c r="E31" s="28">
        <v>322914.71</v>
      </c>
      <c r="F31" s="28">
        <f>D31</f>
        <v>350895.14</v>
      </c>
      <c r="G31" s="28">
        <f>E31-D31</f>
        <v>-27980.429999999993</v>
      </c>
    </row>
    <row r="32" spans="1:7" ht="12.75">
      <c r="A32" s="28" t="s">
        <v>41</v>
      </c>
      <c r="B32" s="28" t="s">
        <v>43</v>
      </c>
      <c r="C32" s="16">
        <v>1544.29</v>
      </c>
      <c r="D32" s="28">
        <v>591140.57</v>
      </c>
      <c r="E32" s="28">
        <v>558715.38</v>
      </c>
      <c r="F32" s="28">
        <f>D32</f>
        <v>591140.57</v>
      </c>
      <c r="G32" s="28">
        <f>E32-D32</f>
        <v>-32425.189999999944</v>
      </c>
    </row>
    <row r="33" spans="1:9" s="20" customFormat="1" ht="15" customHeight="1">
      <c r="A33" s="332" t="s">
        <v>107</v>
      </c>
      <c r="B33" s="333"/>
      <c r="C33" s="334"/>
      <c r="D33" s="19">
        <f aca="true" t="shared" si="1" ref="D33:I33">D18+D23+D24+D25+D28</f>
        <v>1391980.0699999998</v>
      </c>
      <c r="E33" s="19">
        <f t="shared" si="1"/>
        <v>1320742.33</v>
      </c>
      <c r="F33" s="19">
        <f t="shared" si="1"/>
        <v>1377729.9700000002</v>
      </c>
      <c r="G33" s="19">
        <f t="shared" si="1"/>
        <v>-71237.73999999996</v>
      </c>
      <c r="H33" s="19">
        <f t="shared" si="1"/>
        <v>6.75</v>
      </c>
      <c r="I33" s="19">
        <f t="shared" si="1"/>
        <v>0</v>
      </c>
    </row>
    <row r="34" spans="1:11" s="20" customFormat="1" ht="9.75" customHeight="1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</row>
    <row r="35" spans="1:9" ht="23.25" customHeight="1">
      <c r="A35" s="267" t="s">
        <v>44</v>
      </c>
      <c r="B35" s="267"/>
      <c r="C35" s="267"/>
      <c r="D35" s="267"/>
      <c r="E35" s="267"/>
      <c r="F35" s="267"/>
      <c r="G35" s="267"/>
      <c r="H35" s="267"/>
      <c r="I35" s="267"/>
    </row>
    <row r="37" spans="1:7" s="18" customFormat="1" ht="28.5" customHeight="1">
      <c r="A37" s="6" t="s">
        <v>11</v>
      </c>
      <c r="B37" s="268" t="s">
        <v>45</v>
      </c>
      <c r="C37" s="269"/>
      <c r="D37" s="269"/>
      <c r="E37" s="270"/>
      <c r="F37" s="268" t="s">
        <v>46</v>
      </c>
      <c r="G37" s="331"/>
    </row>
    <row r="38" spans="1:7" s="20" customFormat="1" ht="13.5">
      <c r="A38" s="33" t="s">
        <v>47</v>
      </c>
      <c r="B38" s="327" t="s">
        <v>48</v>
      </c>
      <c r="C38" s="328"/>
      <c r="D38" s="328"/>
      <c r="E38" s="329"/>
      <c r="F38" s="330">
        <f>SUM(F39:G42)</f>
        <v>24581.67</v>
      </c>
      <c r="G38" s="331"/>
    </row>
    <row r="39" spans="1:7" ht="15.75" customHeight="1">
      <c r="A39" s="28" t="s">
        <v>16</v>
      </c>
      <c r="B39" s="271" t="s">
        <v>111</v>
      </c>
      <c r="C39" s="272"/>
      <c r="D39" s="272"/>
      <c r="E39" s="273"/>
      <c r="F39" s="318">
        <v>1007.78</v>
      </c>
      <c r="G39" s="318"/>
    </row>
    <row r="40" spans="1:7" ht="15.75" customHeight="1">
      <c r="A40" s="28" t="s">
        <v>18</v>
      </c>
      <c r="B40" s="271" t="s">
        <v>110</v>
      </c>
      <c r="C40" s="272"/>
      <c r="D40" s="272"/>
      <c r="E40" s="273"/>
      <c r="F40" s="318">
        <v>10480.41</v>
      </c>
      <c r="G40" s="318"/>
    </row>
    <row r="41" spans="1:7" ht="15.75" customHeight="1">
      <c r="A41" s="28" t="s">
        <v>20</v>
      </c>
      <c r="B41" s="271" t="s">
        <v>112</v>
      </c>
      <c r="C41" s="272"/>
      <c r="D41" s="272"/>
      <c r="E41" s="273"/>
      <c r="F41" s="318">
        <v>3847.63</v>
      </c>
      <c r="G41" s="318"/>
    </row>
    <row r="42" spans="1:7" ht="15.75" customHeight="1">
      <c r="A42" s="28" t="s">
        <v>22</v>
      </c>
      <c r="B42" s="271" t="s">
        <v>113</v>
      </c>
      <c r="C42" s="272"/>
      <c r="D42" s="272"/>
      <c r="E42" s="273"/>
      <c r="F42" s="318">
        <v>9245.85</v>
      </c>
      <c r="G42" s="318"/>
    </row>
    <row r="43" spans="2:5" ht="12.75">
      <c r="B43" s="13"/>
      <c r="C43" s="13"/>
      <c r="D43" s="13"/>
      <c r="E43" s="13"/>
    </row>
    <row r="44" spans="1:7" s="25" customFormat="1" ht="12.75">
      <c r="A44" s="25" t="s">
        <v>55</v>
      </c>
      <c r="E44" s="25" t="s">
        <v>49</v>
      </c>
      <c r="G44" s="25" t="s">
        <v>102</v>
      </c>
    </row>
    <row r="45" s="25" customFormat="1" ht="12.75"/>
    <row r="46" s="25" customFormat="1" ht="12.75">
      <c r="E46" s="26" t="s">
        <v>109</v>
      </c>
    </row>
    <row r="47" s="25" customFormat="1" ht="12.75">
      <c r="A47" s="25" t="s">
        <v>50</v>
      </c>
    </row>
    <row r="48" spans="3:8" s="25" customFormat="1" ht="12.75">
      <c r="C48" s="34" t="s">
        <v>51</v>
      </c>
      <c r="F48" s="34"/>
      <c r="G48" s="34"/>
      <c r="H48" s="34"/>
    </row>
    <row r="49" s="25" customFormat="1" ht="12.75"/>
    <row r="50" s="25" customFormat="1" ht="12.75"/>
  </sheetData>
  <sheetProtection/>
  <mergeCells count="21">
    <mergeCell ref="A1:I1"/>
    <mergeCell ref="A2:I2"/>
    <mergeCell ref="A3:I3"/>
    <mergeCell ref="A5:I5"/>
    <mergeCell ref="B37:E37"/>
    <mergeCell ref="A13:I13"/>
    <mergeCell ref="F38:G38"/>
    <mergeCell ref="A33:C33"/>
    <mergeCell ref="F37:G37"/>
    <mergeCell ref="A14:I14"/>
    <mergeCell ref="B38:E38"/>
    <mergeCell ref="A15:I15"/>
    <mergeCell ref="A35:I35"/>
    <mergeCell ref="B42:E42"/>
    <mergeCell ref="F42:G42"/>
    <mergeCell ref="B39:E39"/>
    <mergeCell ref="F39:G39"/>
    <mergeCell ref="B40:E40"/>
    <mergeCell ref="B41:E41"/>
    <mergeCell ref="F40:G40"/>
    <mergeCell ref="F41:G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F28" sqref="F28"/>
    </sheetView>
  </sheetViews>
  <sheetFormatPr defaultColWidth="9.140625" defaultRowHeight="15" outlineLevelCol="1"/>
  <cols>
    <col min="1" max="1" width="5.8515625" style="1" customWidth="1"/>
    <col min="2" max="2" width="48.140625" style="1" customWidth="1"/>
    <col min="3" max="3" width="14.57421875" style="1" customWidth="1"/>
    <col min="4" max="5" width="13.140625" style="1" customWidth="1"/>
    <col min="6" max="6" width="13.0039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1.28125" style="1" bestFit="1" customWidth="1" collapsed="1"/>
    <col min="14" max="14" width="11.421875" style="1" bestFit="1" customWidth="1"/>
    <col min="15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2.25" customHeight="1"/>
    <row r="7" spans="1:6" s="3" customFormat="1" ht="16.5" customHeight="1">
      <c r="A7" s="3" t="s">
        <v>2</v>
      </c>
      <c r="F7" s="4" t="s">
        <v>118</v>
      </c>
    </row>
    <row r="8" spans="1:6" s="3" customFormat="1" ht="15">
      <c r="A8" s="3" t="s">
        <v>3</v>
      </c>
      <c r="F8" s="4" t="s">
        <v>119</v>
      </c>
    </row>
    <row r="9" s="3" customFormat="1" ht="3.75" customHeight="1"/>
    <row r="10" spans="1:9" s="3" customFormat="1" ht="12.75" customHeight="1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2.75" customHeight="1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2.75" customHeight="1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120733.52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-46451.55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-163158.96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4.25">
      <c r="A19" s="163" t="s">
        <v>14</v>
      </c>
      <c r="B19" s="129" t="s">
        <v>15</v>
      </c>
      <c r="C19" s="145">
        <f>C20+C21+C22+C23</f>
        <v>9.350000000000001</v>
      </c>
      <c r="D19" s="146">
        <v>413235.6</v>
      </c>
      <c r="E19" s="146">
        <v>418685.77</v>
      </c>
      <c r="F19" s="146">
        <f aca="true" t="shared" si="0" ref="F19:F26">D19</f>
        <v>413235.6</v>
      </c>
      <c r="G19" s="147">
        <f>E19-D19</f>
        <v>5450.170000000042</v>
      </c>
      <c r="H19" s="70">
        <f>C19</f>
        <v>9.350000000000001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142312.1531550802</v>
      </c>
      <c r="E20" s="67">
        <f>E19*I20</f>
        <v>144189.11009625669</v>
      </c>
      <c r="F20" s="67">
        <f t="shared" si="0"/>
        <v>142312.1531550802</v>
      </c>
      <c r="G20" s="68">
        <f aca="true" t="shared" si="1" ref="G20:G28">E20-D20</f>
        <v>1876.956941176497</v>
      </c>
      <c r="H20" s="70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67620.3709090909</v>
      </c>
      <c r="E21" s="67">
        <f>E19*I21</f>
        <v>68512.2169090909</v>
      </c>
      <c r="F21" s="67">
        <f t="shared" si="0"/>
        <v>67620.3709090909</v>
      </c>
      <c r="G21" s="68">
        <f t="shared" si="1"/>
        <v>891.846000000005</v>
      </c>
      <c r="H21" s="70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83531.04641711229</v>
      </c>
      <c r="E22" s="67">
        <f>E19*I22</f>
        <v>84632.73853475935</v>
      </c>
      <c r="F22" s="67">
        <f t="shared" si="0"/>
        <v>83531.04641711229</v>
      </c>
      <c r="G22" s="68">
        <f t="shared" si="1"/>
        <v>1101.6921176470642</v>
      </c>
      <c r="H22" s="70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119772.02951871656</v>
      </c>
      <c r="E23" s="67">
        <f>E19*I23</f>
        <v>121351.70445989304</v>
      </c>
      <c r="F23" s="67">
        <f t="shared" si="0"/>
        <v>119772.02951871656</v>
      </c>
      <c r="G23" s="68">
        <f t="shared" si="1"/>
        <v>1579.6749411764758</v>
      </c>
      <c r="H23" s="70">
        <f>C23</f>
        <v>2.71</v>
      </c>
      <c r="I23" s="15">
        <f>H23/H19</f>
        <v>0.28983957219251333</v>
      </c>
    </row>
    <row r="24" spans="1:7" s="162" customFormat="1" ht="14.25">
      <c r="A24" s="129" t="s">
        <v>25</v>
      </c>
      <c r="B24" s="129" t="s">
        <v>26</v>
      </c>
      <c r="C24" s="152">
        <v>3.58</v>
      </c>
      <c r="D24" s="147">
        <v>158219.76</v>
      </c>
      <c r="E24" s="147">
        <v>161956.59</v>
      </c>
      <c r="F24" s="146">
        <f t="shared" si="0"/>
        <v>158219.76</v>
      </c>
      <c r="G24" s="147">
        <f t="shared" si="1"/>
        <v>3736.829999999987</v>
      </c>
    </row>
    <row r="25" spans="1:7" s="162" customFormat="1" ht="14.25">
      <c r="A25" s="129" t="s">
        <v>27</v>
      </c>
      <c r="B25" s="129" t="s">
        <v>28</v>
      </c>
      <c r="C25" s="152">
        <v>0</v>
      </c>
      <c r="D25" s="147">
        <v>0</v>
      </c>
      <c r="E25" s="147">
        <v>6641.12</v>
      </c>
      <c r="F25" s="147">
        <f t="shared" si="0"/>
        <v>0</v>
      </c>
      <c r="G25" s="147">
        <f t="shared" si="1"/>
        <v>6641.12</v>
      </c>
    </row>
    <row r="26" spans="1:7" s="162" customFormat="1" ht="14.25">
      <c r="A26" s="129" t="s">
        <v>29</v>
      </c>
      <c r="B26" s="129" t="s">
        <v>30</v>
      </c>
      <c r="C26" s="152">
        <v>1.04</v>
      </c>
      <c r="D26" s="147">
        <v>45963.36</v>
      </c>
      <c r="E26" s="147">
        <v>46574.6</v>
      </c>
      <c r="F26" s="147">
        <f t="shared" si="0"/>
        <v>45963.36</v>
      </c>
      <c r="G26" s="147">
        <f t="shared" si="1"/>
        <v>611.239999999998</v>
      </c>
    </row>
    <row r="27" spans="1:13" s="162" customFormat="1" ht="14.25">
      <c r="A27" s="129" t="s">
        <v>31</v>
      </c>
      <c r="B27" s="129" t="s">
        <v>131</v>
      </c>
      <c r="C27" s="152">
        <v>1.92</v>
      </c>
      <c r="D27" s="147">
        <v>84858.24</v>
      </c>
      <c r="E27" s="147">
        <v>86125.9</v>
      </c>
      <c r="F27" s="153">
        <f>F44-F56</f>
        <v>166089.119</v>
      </c>
      <c r="G27" s="147">
        <f t="shared" si="1"/>
        <v>1267.659999999989</v>
      </c>
      <c r="M27" s="193"/>
    </row>
    <row r="28" spans="1:13" s="162" customFormat="1" ht="14.25">
      <c r="A28" s="185" t="s">
        <v>323</v>
      </c>
      <c r="B28" s="191" t="s">
        <v>230</v>
      </c>
      <c r="C28" s="145">
        <v>1832.48</v>
      </c>
      <c r="D28" s="147">
        <v>13468.14</v>
      </c>
      <c r="E28" s="147">
        <v>13789.36</v>
      </c>
      <c r="F28" s="153">
        <f>D28</f>
        <v>13468.14</v>
      </c>
      <c r="G28" s="147">
        <f t="shared" si="1"/>
        <v>321.22000000000116</v>
      </c>
      <c r="M28" s="193"/>
    </row>
    <row r="29" spans="1:7" s="162" customFormat="1" ht="14.25">
      <c r="A29" s="129" t="s">
        <v>35</v>
      </c>
      <c r="B29" s="191" t="s">
        <v>515</v>
      </c>
      <c r="C29" s="215">
        <v>7.35</v>
      </c>
      <c r="D29" s="147">
        <v>50365.6</v>
      </c>
      <c r="E29" s="147">
        <v>50375.28</v>
      </c>
      <c r="F29" s="237">
        <f>F56</f>
        <v>150010</v>
      </c>
      <c r="G29" s="147">
        <f>E29-D29</f>
        <v>9.680000000000291</v>
      </c>
    </row>
    <row r="30" spans="1:7" s="162" customFormat="1" ht="14.25">
      <c r="A30" s="185" t="s">
        <v>328</v>
      </c>
      <c r="B30" s="129" t="s">
        <v>36</v>
      </c>
      <c r="C30" s="145"/>
      <c r="D30" s="147">
        <f>SUM(D31:D34)</f>
        <v>1591263.3399999999</v>
      </c>
      <c r="E30" s="147">
        <f>SUM(E31:E34)</f>
        <v>1649058.8399999999</v>
      </c>
      <c r="F30" s="147">
        <f>SUM(F31:F34)</f>
        <v>1591263.3399999999</v>
      </c>
      <c r="G30" s="147">
        <f>SUM(G31:G34)</f>
        <v>57795.500000000015</v>
      </c>
    </row>
    <row r="31" spans="1:7" ht="15">
      <c r="A31" s="98" t="s">
        <v>330</v>
      </c>
      <c r="B31" s="9" t="s">
        <v>106</v>
      </c>
      <c r="C31" s="134" t="s">
        <v>315</v>
      </c>
      <c r="D31" s="68">
        <v>18721.18</v>
      </c>
      <c r="E31" s="68">
        <v>19654.29</v>
      </c>
      <c r="F31" s="68">
        <f>D31</f>
        <v>18721.18</v>
      </c>
      <c r="G31" s="68">
        <f>E31-D31</f>
        <v>933.1100000000006</v>
      </c>
    </row>
    <row r="32" spans="1:7" ht="15">
      <c r="A32" s="98" t="s">
        <v>331</v>
      </c>
      <c r="B32" s="9" t="s">
        <v>168</v>
      </c>
      <c r="C32" s="134" t="s">
        <v>314</v>
      </c>
      <c r="D32" s="68">
        <v>310371.79</v>
      </c>
      <c r="E32" s="68">
        <v>320599.17</v>
      </c>
      <c r="F32" s="68">
        <f>D32</f>
        <v>310371.79</v>
      </c>
      <c r="G32" s="68">
        <f>E32-D32</f>
        <v>10227.380000000005</v>
      </c>
    </row>
    <row r="33" spans="1:7" ht="15">
      <c r="A33" s="98" t="s">
        <v>332</v>
      </c>
      <c r="B33" s="9" t="s">
        <v>170</v>
      </c>
      <c r="C33" s="182" t="s">
        <v>346</v>
      </c>
      <c r="D33" s="68">
        <v>412585.5</v>
      </c>
      <c r="E33" s="68">
        <v>429612.88</v>
      </c>
      <c r="F33" s="68">
        <f>D33</f>
        <v>412585.5</v>
      </c>
      <c r="G33" s="68">
        <f>E33-D33</f>
        <v>17027.380000000005</v>
      </c>
    </row>
    <row r="34" spans="1:7" ht="15">
      <c r="A34" s="98" t="s">
        <v>333</v>
      </c>
      <c r="B34" s="9" t="s">
        <v>43</v>
      </c>
      <c r="C34" s="134" t="s">
        <v>316</v>
      </c>
      <c r="D34" s="68">
        <v>849584.87</v>
      </c>
      <c r="E34" s="68">
        <v>879192.5</v>
      </c>
      <c r="F34" s="68">
        <f>D34</f>
        <v>849584.87</v>
      </c>
      <c r="G34" s="68">
        <f>E34-D34</f>
        <v>29607.630000000005</v>
      </c>
    </row>
    <row r="35" spans="1:10" s="20" customFormat="1" ht="3.75" customHeight="1" thickBot="1">
      <c r="A35" s="21"/>
      <c r="B35" s="21"/>
      <c r="C35" s="21"/>
      <c r="D35" s="22"/>
      <c r="E35" s="22"/>
      <c r="F35" s="22"/>
      <c r="G35" s="22"/>
      <c r="H35" s="22"/>
      <c r="I35" s="22"/>
      <c r="J35" s="22"/>
    </row>
    <row r="36" spans="1:9" s="15" customFormat="1" ht="15.75" thickBot="1">
      <c r="A36" s="265" t="s">
        <v>299</v>
      </c>
      <c r="B36" s="266"/>
      <c r="C36" s="266"/>
      <c r="D36" s="73">
        <f>D13+D19+D24+D25+D26+D27+D28+D29+D30-E19-E24-E25-E26-E27-E28-E29-E30</f>
        <v>44900.099999999395</v>
      </c>
      <c r="E36" s="39"/>
      <c r="F36" s="39"/>
      <c r="G36" s="39"/>
      <c r="H36" s="40"/>
      <c r="I36" s="40"/>
    </row>
    <row r="37" spans="1:9" s="15" customFormat="1" ht="4.5" customHeight="1" thickBot="1">
      <c r="A37" s="41"/>
      <c r="B37" s="41"/>
      <c r="C37" s="41"/>
      <c r="D37" s="42"/>
      <c r="E37" s="39"/>
      <c r="F37" s="39"/>
      <c r="G37" s="39"/>
      <c r="H37" s="40"/>
      <c r="I37" s="40"/>
    </row>
    <row r="38" spans="1:9" s="15" customFormat="1" ht="15.75" thickBot="1">
      <c r="A38" s="87" t="s">
        <v>300</v>
      </c>
      <c r="B38" s="43"/>
      <c r="C38" s="43"/>
      <c r="D38" s="44"/>
      <c r="E38" s="45"/>
      <c r="F38" s="45"/>
      <c r="G38" s="38">
        <f>G15</f>
        <v>-46451.55</v>
      </c>
      <c r="H38" s="40"/>
      <c r="I38" s="40"/>
    </row>
    <row r="39" spans="1:9" s="15" customFormat="1" ht="15.75" thickBot="1">
      <c r="A39" s="87" t="s">
        <v>301</v>
      </c>
      <c r="B39" s="43"/>
      <c r="C39" s="43"/>
      <c r="D39" s="44"/>
      <c r="E39" s="45"/>
      <c r="F39" s="45"/>
      <c r="G39" s="38">
        <f>G16+E27-F27</f>
        <v>-243122.179</v>
      </c>
      <c r="H39" s="40"/>
      <c r="I39" s="40"/>
    </row>
    <row r="40" spans="1:9" s="15" customFormat="1" ht="15">
      <c r="A40" s="89"/>
      <c r="B40" s="41"/>
      <c r="C40" s="41"/>
      <c r="D40" s="42"/>
      <c r="E40" s="39"/>
      <c r="F40" s="39"/>
      <c r="G40" s="42"/>
      <c r="H40" s="40"/>
      <c r="I40" s="40"/>
    </row>
    <row r="41" spans="1:9" ht="27.75" customHeight="1">
      <c r="A41" s="316" t="s">
        <v>44</v>
      </c>
      <c r="B41" s="316"/>
      <c r="C41" s="316"/>
      <c r="D41" s="316"/>
      <c r="E41" s="316"/>
      <c r="F41" s="316"/>
      <c r="G41" s="316"/>
      <c r="H41" s="316"/>
      <c r="I41" s="316"/>
    </row>
    <row r="42" ht="3" customHeight="1"/>
    <row r="43" spans="1:7" s="7" customFormat="1" ht="28.5" customHeight="1">
      <c r="A43" s="5" t="s">
        <v>11</v>
      </c>
      <c r="B43" s="285" t="s">
        <v>45</v>
      </c>
      <c r="C43" s="286"/>
      <c r="D43" s="5" t="s">
        <v>232</v>
      </c>
      <c r="E43" s="5" t="s">
        <v>231</v>
      </c>
      <c r="F43" s="285" t="s">
        <v>46</v>
      </c>
      <c r="G43" s="286"/>
    </row>
    <row r="44" spans="1:7" s="12" customFormat="1" ht="12.75" customHeight="1">
      <c r="A44" s="11" t="s">
        <v>47</v>
      </c>
      <c r="B44" s="287" t="s">
        <v>126</v>
      </c>
      <c r="C44" s="288"/>
      <c r="D44" s="157"/>
      <c r="E44" s="157"/>
      <c r="F44" s="295">
        <f>SUM(F45:L57)</f>
        <v>316099.119</v>
      </c>
      <c r="G44" s="291"/>
    </row>
    <row r="45" spans="1:7" ht="12.75" customHeight="1">
      <c r="A45" s="9" t="s">
        <v>16</v>
      </c>
      <c r="B45" s="271" t="s">
        <v>526</v>
      </c>
      <c r="C45" s="273"/>
      <c r="D45" s="158" t="s">
        <v>452</v>
      </c>
      <c r="E45" s="158">
        <v>0.22</v>
      </c>
      <c r="F45" s="308">
        <v>21208.75</v>
      </c>
      <c r="G45" s="309"/>
    </row>
    <row r="46" spans="1:7" ht="12.75" customHeight="1">
      <c r="A46" s="9" t="s">
        <v>18</v>
      </c>
      <c r="B46" s="271" t="s">
        <v>516</v>
      </c>
      <c r="C46" s="273"/>
      <c r="D46" s="158" t="s">
        <v>517</v>
      </c>
      <c r="E46" s="158">
        <v>0.01</v>
      </c>
      <c r="F46" s="294">
        <v>3870.79</v>
      </c>
      <c r="G46" s="294"/>
    </row>
    <row r="47" spans="1:7" ht="12.75" customHeight="1">
      <c r="A47" s="9" t="s">
        <v>20</v>
      </c>
      <c r="B47" s="271" t="s">
        <v>518</v>
      </c>
      <c r="C47" s="273"/>
      <c r="D47" s="158" t="s">
        <v>234</v>
      </c>
      <c r="E47" s="158">
        <v>1</v>
      </c>
      <c r="F47" s="308">
        <v>1846.79</v>
      </c>
      <c r="G47" s="309"/>
    </row>
    <row r="48" spans="1:7" ht="12.75" customHeight="1">
      <c r="A48" s="9" t="s">
        <v>22</v>
      </c>
      <c r="B48" s="271" t="s">
        <v>237</v>
      </c>
      <c r="C48" s="273"/>
      <c r="D48" s="158"/>
      <c r="E48" s="158"/>
      <c r="F48" s="308">
        <v>8000</v>
      </c>
      <c r="G48" s="309"/>
    </row>
    <row r="49" spans="1:7" ht="12.75" customHeight="1">
      <c r="A49" s="9" t="s">
        <v>24</v>
      </c>
      <c r="B49" s="271" t="s">
        <v>430</v>
      </c>
      <c r="C49" s="273"/>
      <c r="D49" s="158"/>
      <c r="E49" s="158"/>
      <c r="F49" s="308">
        <v>13732.4</v>
      </c>
      <c r="G49" s="309"/>
    </row>
    <row r="50" spans="1:7" ht="12.75" customHeight="1">
      <c r="A50" s="9" t="s">
        <v>116</v>
      </c>
      <c r="B50" s="271" t="s">
        <v>527</v>
      </c>
      <c r="C50" s="273"/>
      <c r="D50" s="158" t="s">
        <v>416</v>
      </c>
      <c r="E50" s="158">
        <v>0.18</v>
      </c>
      <c r="F50" s="308">
        <v>11833.48</v>
      </c>
      <c r="G50" s="309"/>
    </row>
    <row r="51" spans="1:7" ht="12.75" customHeight="1">
      <c r="A51" s="9" t="s">
        <v>117</v>
      </c>
      <c r="B51" s="271" t="s">
        <v>519</v>
      </c>
      <c r="C51" s="273"/>
      <c r="D51" s="158" t="s">
        <v>461</v>
      </c>
      <c r="E51" s="192">
        <v>0.24</v>
      </c>
      <c r="F51" s="308">
        <v>46643</v>
      </c>
      <c r="G51" s="309"/>
    </row>
    <row r="52" spans="1:7" ht="12.75" customHeight="1">
      <c r="A52" s="9" t="s">
        <v>132</v>
      </c>
      <c r="B52" s="271" t="s">
        <v>237</v>
      </c>
      <c r="C52" s="273"/>
      <c r="D52" s="158" t="s">
        <v>238</v>
      </c>
      <c r="E52" s="158">
        <v>4</v>
      </c>
      <c r="F52" s="308">
        <v>4000</v>
      </c>
      <c r="G52" s="309"/>
    </row>
    <row r="53" spans="1:7" ht="12.75" customHeight="1">
      <c r="A53" s="9" t="s">
        <v>133</v>
      </c>
      <c r="B53" s="271" t="s">
        <v>520</v>
      </c>
      <c r="C53" s="273"/>
      <c r="D53" s="158" t="s">
        <v>234</v>
      </c>
      <c r="E53" s="158">
        <v>1</v>
      </c>
      <c r="F53" s="308">
        <v>48500</v>
      </c>
      <c r="G53" s="309"/>
    </row>
    <row r="54" spans="1:7" ht="12.75" customHeight="1">
      <c r="A54" s="9" t="s">
        <v>134</v>
      </c>
      <c r="B54" s="271" t="s">
        <v>521</v>
      </c>
      <c r="C54" s="273"/>
      <c r="D54" s="158" t="s">
        <v>416</v>
      </c>
      <c r="E54" s="158">
        <v>0.02</v>
      </c>
      <c r="F54" s="308">
        <v>1592.65</v>
      </c>
      <c r="G54" s="309"/>
    </row>
    <row r="55" spans="1:7" ht="12.75" customHeight="1">
      <c r="A55" s="9" t="s">
        <v>171</v>
      </c>
      <c r="B55" s="271" t="s">
        <v>225</v>
      </c>
      <c r="C55" s="273"/>
      <c r="D55" s="158" t="s">
        <v>522</v>
      </c>
      <c r="E55" s="158">
        <v>0.02</v>
      </c>
      <c r="F55" s="308">
        <v>4000</v>
      </c>
      <c r="G55" s="309"/>
    </row>
    <row r="56" spans="1:7" ht="12.75" customHeight="1">
      <c r="A56" s="9" t="s">
        <v>192</v>
      </c>
      <c r="B56" s="271" t="s">
        <v>523</v>
      </c>
      <c r="C56" s="273"/>
      <c r="D56" s="158"/>
      <c r="E56" s="158"/>
      <c r="F56" s="308">
        <v>150010</v>
      </c>
      <c r="G56" s="309"/>
    </row>
    <row r="57" spans="1:7" ht="12.75" customHeight="1">
      <c r="A57" s="9" t="s">
        <v>193</v>
      </c>
      <c r="B57" s="131" t="s">
        <v>286</v>
      </c>
      <c r="C57" s="132"/>
      <c r="D57" s="158"/>
      <c r="E57" s="158"/>
      <c r="F57" s="294">
        <f>E27*1%</f>
        <v>861.259</v>
      </c>
      <c r="G57" s="294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s="48" customFormat="1" ht="12.75" customHeight="1">
      <c r="A59" s="3" t="s">
        <v>55</v>
      </c>
      <c r="B59" s="3"/>
      <c r="C59" s="3" t="s">
        <v>49</v>
      </c>
      <c r="D59" s="3"/>
      <c r="E59" s="3"/>
      <c r="F59" s="3" t="s">
        <v>102</v>
      </c>
      <c r="G59" s="3"/>
    </row>
    <row r="60" spans="1:7" s="48" customFormat="1" ht="12.75" customHeight="1">
      <c r="A60" s="3"/>
      <c r="B60" s="3"/>
      <c r="C60" s="3"/>
      <c r="D60" s="3"/>
      <c r="E60" s="3"/>
      <c r="F60" s="4" t="s">
        <v>303</v>
      </c>
      <c r="G60" s="3"/>
    </row>
    <row r="61" s="3" customFormat="1" ht="15">
      <c r="A61" s="3" t="s">
        <v>50</v>
      </c>
    </row>
    <row r="62" spans="3:7" s="3" customFormat="1" ht="15">
      <c r="C62" s="14" t="s">
        <v>51</v>
      </c>
      <c r="E62" s="14"/>
      <c r="F62" s="14"/>
      <c r="G62" s="14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</sheetData>
  <sheetProtection/>
  <mergeCells count="39">
    <mergeCell ref="B51:C51"/>
    <mergeCell ref="B52:C52"/>
    <mergeCell ref="B53:C53"/>
    <mergeCell ref="B54:C54"/>
    <mergeCell ref="F57:G57"/>
    <mergeCell ref="B55:C55"/>
    <mergeCell ref="F55:G55"/>
    <mergeCell ref="B56:C56"/>
    <mergeCell ref="F56:G56"/>
    <mergeCell ref="F47:G47"/>
    <mergeCell ref="F54:G54"/>
    <mergeCell ref="F52:G52"/>
    <mergeCell ref="F53:G53"/>
    <mergeCell ref="F51:G51"/>
    <mergeCell ref="B46:C46"/>
    <mergeCell ref="B47:C47"/>
    <mergeCell ref="B48:C48"/>
    <mergeCell ref="B49:C49"/>
    <mergeCell ref="B50:C50"/>
    <mergeCell ref="F50:G50"/>
    <mergeCell ref="F48:G48"/>
    <mergeCell ref="F49:G49"/>
    <mergeCell ref="F46:G46"/>
    <mergeCell ref="B43:C43"/>
    <mergeCell ref="B44:C44"/>
    <mergeCell ref="B45:C45"/>
    <mergeCell ref="F43:G43"/>
    <mergeCell ref="F44:G44"/>
    <mergeCell ref="F45:G45"/>
    <mergeCell ref="A12:I12"/>
    <mergeCell ref="A41:I41"/>
    <mergeCell ref="A13:C13"/>
    <mergeCell ref="A36:C36"/>
    <mergeCell ref="A1:I1"/>
    <mergeCell ref="A2:I2"/>
    <mergeCell ref="A5:I5"/>
    <mergeCell ref="A10:I10"/>
    <mergeCell ref="A11:I11"/>
    <mergeCell ref="A3:K3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8515625" style="1" customWidth="1"/>
    <col min="2" max="2" width="48.00390625" style="1" bestFit="1" customWidth="1"/>
    <col min="3" max="3" width="12.421875" style="1" customWidth="1"/>
    <col min="4" max="5" width="13.00390625" style="1" customWidth="1"/>
    <col min="6" max="6" width="13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120</v>
      </c>
    </row>
    <row r="8" spans="1:6" s="3" customFormat="1" ht="15">
      <c r="A8" s="3" t="s">
        <v>3</v>
      </c>
      <c r="F8" s="4" t="s">
        <v>121</v>
      </c>
    </row>
    <row r="9" s="3" customFormat="1" ht="5.25" customHeight="1"/>
    <row r="10" spans="1:9" s="3" customFormat="1" ht="12" customHeight="1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2" customHeight="1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2" customHeight="1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273306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120410.79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100715.01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>
      <c r="A19" s="163" t="s">
        <v>14</v>
      </c>
      <c r="B19" s="129" t="s">
        <v>15</v>
      </c>
      <c r="C19" s="145">
        <f>C20+C21+C22+C23</f>
        <v>8.93</v>
      </c>
      <c r="D19" s="146">
        <v>264353.04</v>
      </c>
      <c r="E19" s="146">
        <v>253820.35</v>
      </c>
      <c r="F19" s="146">
        <f aca="true" t="shared" si="0" ref="F19:F26">D19</f>
        <v>264353.04</v>
      </c>
      <c r="G19" s="147">
        <f aca="true" t="shared" si="1" ref="G19:G28">E19-D19</f>
        <v>-10532.689999999973</v>
      </c>
      <c r="H19" s="71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95321.02898096305</v>
      </c>
      <c r="E20" s="67">
        <f>E19*I20</f>
        <v>91523.12732362823</v>
      </c>
      <c r="F20" s="67">
        <f t="shared" si="0"/>
        <v>95321.02898096305</v>
      </c>
      <c r="G20" s="68">
        <f t="shared" si="1"/>
        <v>-3797.90165733482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46772.43036954087</v>
      </c>
      <c r="E21" s="67">
        <f>E19*I21</f>
        <v>44908.86371780515</v>
      </c>
      <c r="F21" s="67">
        <f t="shared" si="0"/>
        <v>46772.43036954087</v>
      </c>
      <c r="G21" s="68">
        <f t="shared" si="1"/>
        <v>-1863.5666517357167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42035.98172452407</v>
      </c>
      <c r="E22" s="67">
        <f>E19*I22</f>
        <v>40361.130683090705</v>
      </c>
      <c r="F22" s="67">
        <f t="shared" si="0"/>
        <v>42035.98172452407</v>
      </c>
      <c r="G22" s="68">
        <f t="shared" si="1"/>
        <v>-1674.851041433365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80223.598924972</v>
      </c>
      <c r="E23" s="67">
        <f>E19*I23</f>
        <v>77027.22827547592</v>
      </c>
      <c r="F23" s="67">
        <f t="shared" si="0"/>
        <v>80223.598924972</v>
      </c>
      <c r="G23" s="68">
        <f t="shared" si="1"/>
        <v>-3196.370649496079</v>
      </c>
      <c r="H23" s="71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4786.78</v>
      </c>
      <c r="F25" s="147">
        <f t="shared" si="0"/>
        <v>0</v>
      </c>
      <c r="G25" s="147">
        <f t="shared" si="1"/>
        <v>4786.78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51508.56</v>
      </c>
      <c r="E27" s="147">
        <v>49641.86</v>
      </c>
      <c r="F27" s="153">
        <f>F42</f>
        <v>15318.388600000002</v>
      </c>
      <c r="G27" s="147">
        <f t="shared" si="1"/>
        <v>-1866.699999999997</v>
      </c>
    </row>
    <row r="28" spans="1:9" s="111" customFormat="1" ht="15">
      <c r="A28" s="129" t="s">
        <v>33</v>
      </c>
      <c r="B28" s="36" t="s">
        <v>34</v>
      </c>
      <c r="C28" s="198">
        <v>0</v>
      </c>
      <c r="D28" s="147">
        <v>0</v>
      </c>
      <c r="E28" s="147">
        <v>480.01</v>
      </c>
      <c r="F28" s="153">
        <v>0</v>
      </c>
      <c r="G28" s="147">
        <f t="shared" si="1"/>
        <v>480.01</v>
      </c>
      <c r="H28" s="1"/>
      <c r="I28" s="1"/>
    </row>
    <row r="29" spans="1:7" ht="15">
      <c r="A29" s="129" t="s">
        <v>35</v>
      </c>
      <c r="B29" s="36" t="s">
        <v>36</v>
      </c>
      <c r="C29" s="175"/>
      <c r="D29" s="147">
        <f>SUM(D30:D33)</f>
        <v>1299581.85</v>
      </c>
      <c r="E29" s="147">
        <f>SUM(E30:E33)</f>
        <v>1235637.04</v>
      </c>
      <c r="F29" s="147">
        <f>SUM(F30:F33)</f>
        <v>1299581.85</v>
      </c>
      <c r="G29" s="147">
        <f>SUM(G30:G33)</f>
        <v>-63944.81000000003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28099.98</v>
      </c>
      <c r="E30" s="68">
        <v>26800.57</v>
      </c>
      <c r="F30" s="68">
        <f>D30</f>
        <v>28099.98</v>
      </c>
      <c r="G30" s="68">
        <f>E30-D30</f>
        <v>-1299.4099999999999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368104.21</v>
      </c>
      <c r="E31" s="68">
        <v>343739.96</v>
      </c>
      <c r="F31" s="68">
        <f>D31</f>
        <v>368104.21</v>
      </c>
      <c r="G31" s="68">
        <f>E31-D31</f>
        <v>-24364.25</v>
      </c>
    </row>
    <row r="32" spans="1:7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ht="26.25" thickBot="1">
      <c r="A33" s="9" t="s">
        <v>41</v>
      </c>
      <c r="B33" s="9" t="s">
        <v>43</v>
      </c>
      <c r="C33" s="134" t="s">
        <v>316</v>
      </c>
      <c r="D33" s="68">
        <v>903377.66</v>
      </c>
      <c r="E33" s="68">
        <v>865096.51</v>
      </c>
      <c r="F33" s="68">
        <f>D33</f>
        <v>903377.66</v>
      </c>
      <c r="G33" s="68">
        <f>E33-D33</f>
        <v>-38281.15000000002</v>
      </c>
      <c r="H33" s="22"/>
      <c r="I33" s="22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344383.4099999999</v>
      </c>
      <c r="E34" s="39"/>
      <c r="F34" s="39"/>
      <c r="G34" s="39"/>
      <c r="H34" s="40"/>
      <c r="I34" s="40"/>
      <c r="J34" s="22"/>
    </row>
    <row r="35" spans="1:9" s="15" customFormat="1" ht="8.2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120890.79999999999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135038.4814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ht="27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3.75" customHeight="1"/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2.75" customHeight="1">
      <c r="A42" s="11" t="s">
        <v>47</v>
      </c>
      <c r="B42" s="287" t="s">
        <v>126</v>
      </c>
      <c r="C42" s="288"/>
      <c r="D42" s="157"/>
      <c r="E42" s="157"/>
      <c r="F42" s="295">
        <f>SUM(F43:L45)</f>
        <v>15318.388600000002</v>
      </c>
      <c r="G42" s="291"/>
    </row>
    <row r="43" spans="1:7" ht="12.75" customHeight="1">
      <c r="A43" s="9" t="s">
        <v>16</v>
      </c>
      <c r="B43" s="271" t="s">
        <v>237</v>
      </c>
      <c r="C43" s="273"/>
      <c r="D43" s="158" t="s">
        <v>238</v>
      </c>
      <c r="E43" s="158">
        <v>7</v>
      </c>
      <c r="F43" s="308">
        <v>7000</v>
      </c>
      <c r="G43" s="309"/>
    </row>
    <row r="44" spans="1:7" ht="12.75" customHeight="1">
      <c r="A44" s="9" t="s">
        <v>18</v>
      </c>
      <c r="B44" s="271" t="s">
        <v>511</v>
      </c>
      <c r="C44" s="273"/>
      <c r="D44" s="158" t="s">
        <v>410</v>
      </c>
      <c r="E44" s="158">
        <v>0.01</v>
      </c>
      <c r="F44" s="294">
        <v>7821.97</v>
      </c>
      <c r="G44" s="294"/>
    </row>
    <row r="45" spans="1:7" ht="15">
      <c r="A45" s="9" t="s">
        <v>20</v>
      </c>
      <c r="B45" s="131" t="s">
        <v>286</v>
      </c>
      <c r="C45" s="132"/>
      <c r="D45" s="158"/>
      <c r="E45" s="158"/>
      <c r="F45" s="294">
        <f>E27*1%</f>
        <v>496.4186</v>
      </c>
      <c r="G45" s="294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 t="s">
        <v>55</v>
      </c>
      <c r="B47" s="3"/>
      <c r="C47" s="3" t="s">
        <v>49</v>
      </c>
      <c r="D47" s="3"/>
      <c r="E47" s="3"/>
      <c r="F47" s="3" t="s">
        <v>102</v>
      </c>
      <c r="G47" s="3"/>
    </row>
    <row r="48" spans="1:7" ht="15">
      <c r="A48" s="3"/>
      <c r="B48" s="3"/>
      <c r="C48" s="3"/>
      <c r="D48" s="3"/>
      <c r="E48" s="3"/>
      <c r="F48" s="4" t="s">
        <v>303</v>
      </c>
      <c r="G48" s="3"/>
    </row>
    <row r="49" spans="1:7" ht="15">
      <c r="A49" s="3" t="s">
        <v>50</v>
      </c>
      <c r="B49" s="3"/>
      <c r="C49" s="3"/>
      <c r="D49" s="3"/>
      <c r="E49" s="3"/>
      <c r="F49" s="3"/>
      <c r="G49" s="3"/>
    </row>
    <row r="50" spans="1:7" ht="15">
      <c r="A50" s="3"/>
      <c r="B50" s="3"/>
      <c r="C50" s="14" t="s">
        <v>51</v>
      </c>
      <c r="D50" s="3"/>
      <c r="E50" s="14"/>
      <c r="F50" s="14"/>
      <c r="G50" s="14"/>
    </row>
  </sheetData>
  <sheetProtection/>
  <mergeCells count="19">
    <mergeCell ref="A34:C34"/>
    <mergeCell ref="A12:I12"/>
    <mergeCell ref="A39:I39"/>
    <mergeCell ref="F41:G41"/>
    <mergeCell ref="F43:G43"/>
    <mergeCell ref="A13:C13"/>
    <mergeCell ref="A1:I1"/>
    <mergeCell ref="A2:I2"/>
    <mergeCell ref="A5:I5"/>
    <mergeCell ref="A10:I10"/>
    <mergeCell ref="A3:K3"/>
    <mergeCell ref="A11:I11"/>
    <mergeCell ref="F45:G45"/>
    <mergeCell ref="B41:C41"/>
    <mergeCell ref="B42:C42"/>
    <mergeCell ref="B43:C43"/>
    <mergeCell ref="B44:C44"/>
    <mergeCell ref="F44:G44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28" sqref="C28"/>
    </sheetView>
  </sheetViews>
  <sheetFormatPr defaultColWidth="9.140625" defaultRowHeight="15" outlineLevelCol="1"/>
  <cols>
    <col min="1" max="1" width="5.57421875" style="1" customWidth="1"/>
    <col min="2" max="2" width="49.28125" style="1" customWidth="1"/>
    <col min="3" max="3" width="13.00390625" style="1" customWidth="1"/>
    <col min="4" max="4" width="13.421875" style="1" customWidth="1"/>
    <col min="5" max="5" width="13.8515625" style="1" customWidth="1"/>
    <col min="6" max="6" width="12.8515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6" customHeight="1"/>
    <row r="7" spans="1:6" s="3" customFormat="1" ht="16.5" customHeight="1">
      <c r="A7" s="3" t="s">
        <v>2</v>
      </c>
      <c r="F7" s="4" t="s">
        <v>122</v>
      </c>
    </row>
    <row r="8" spans="1:6" s="3" customFormat="1" ht="15">
      <c r="A8" s="3" t="s">
        <v>3</v>
      </c>
      <c r="F8" s="4" t="s">
        <v>150</v>
      </c>
    </row>
    <row r="9" s="3" customFormat="1" ht="4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112222.04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38">
        <v>192250.54</v>
      </c>
      <c r="H15" s="40"/>
      <c r="I15" s="40"/>
    </row>
    <row r="16" s="3" customFormat="1" ht="6.75" customHeight="1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16" s="3" customFormat="1" ht="15">
      <c r="A18" s="163" t="s">
        <v>14</v>
      </c>
      <c r="B18" s="129" t="s">
        <v>15</v>
      </c>
      <c r="C18" s="145">
        <f>C19+C20+C21+C22</f>
        <v>9.350000000000001</v>
      </c>
      <c r="D18" s="146">
        <v>232823.34</v>
      </c>
      <c r="E18" s="146">
        <v>229791.39</v>
      </c>
      <c r="F18" s="146">
        <f aca="true" t="shared" si="0" ref="F18:F25">D18</f>
        <v>232823.34</v>
      </c>
      <c r="G18" s="147">
        <f>E18-D18</f>
        <v>-3031.9499999999825</v>
      </c>
      <c r="H18" s="70">
        <f>C18</f>
        <v>9.350000000000001</v>
      </c>
      <c r="I18" s="165"/>
      <c r="N18" s="65"/>
      <c r="O18" s="65"/>
      <c r="P18" s="65"/>
    </row>
    <row r="19" spans="1:9" s="3" customFormat="1" ht="15">
      <c r="A19" s="8" t="s">
        <v>16</v>
      </c>
      <c r="B19" s="9" t="s">
        <v>17</v>
      </c>
      <c r="C19" s="139">
        <v>3.22</v>
      </c>
      <c r="D19" s="67">
        <f>D18*I19</f>
        <v>80180.87217112299</v>
      </c>
      <c r="E19" s="67">
        <f>E18*I19</f>
        <v>79136.71398930482</v>
      </c>
      <c r="F19" s="67">
        <f t="shared" si="0"/>
        <v>80180.87217112299</v>
      </c>
      <c r="G19" s="68">
        <f aca="true" t="shared" si="1" ref="G19:G27">E19-D19</f>
        <v>-1044.158181818173</v>
      </c>
      <c r="H19" s="70">
        <f>C19</f>
        <v>3.22</v>
      </c>
      <c r="I19" s="15">
        <f>H19/H18</f>
        <v>0.3443850267379679</v>
      </c>
    </row>
    <row r="20" spans="1:9" s="3" customFormat="1" ht="15">
      <c r="A20" s="8" t="s">
        <v>18</v>
      </c>
      <c r="B20" s="9" t="s">
        <v>19</v>
      </c>
      <c r="C20" s="139">
        <v>1.53</v>
      </c>
      <c r="D20" s="67">
        <f>D18*I20</f>
        <v>38098.36472727272</v>
      </c>
      <c r="E20" s="67">
        <f>E18*I20</f>
        <v>37602.22745454545</v>
      </c>
      <c r="F20" s="67">
        <f t="shared" si="0"/>
        <v>38098.36472727272</v>
      </c>
      <c r="G20" s="68">
        <f t="shared" si="1"/>
        <v>-496.1372727272683</v>
      </c>
      <c r="H20" s="70">
        <f>C20</f>
        <v>1.53</v>
      </c>
      <c r="I20" s="15">
        <f>H20/H18</f>
        <v>0.1636363636363636</v>
      </c>
    </row>
    <row r="21" spans="1:9" s="3" customFormat="1" ht="15">
      <c r="A21" s="8" t="s">
        <v>20</v>
      </c>
      <c r="B21" s="9" t="s">
        <v>21</v>
      </c>
      <c r="C21" s="139">
        <f>0.5+0.47+0.3+0.3+0.18+0.14</f>
        <v>1.8900000000000001</v>
      </c>
      <c r="D21" s="67">
        <f>D18*I21</f>
        <v>47062.68583957219</v>
      </c>
      <c r="E21" s="67">
        <f>E18*I21</f>
        <v>46449.810385026736</v>
      </c>
      <c r="F21" s="67">
        <f t="shared" si="0"/>
        <v>47062.68583957219</v>
      </c>
      <c r="G21" s="68">
        <f t="shared" si="1"/>
        <v>-612.8754545454503</v>
      </c>
      <c r="H21" s="70">
        <f>C21</f>
        <v>1.8900000000000001</v>
      </c>
      <c r="I21" s="15">
        <f>H21/H18</f>
        <v>0.20213903743315506</v>
      </c>
    </row>
    <row r="22" spans="1:9" s="3" customFormat="1" ht="15">
      <c r="A22" s="8" t="s">
        <v>22</v>
      </c>
      <c r="B22" s="9" t="s">
        <v>23</v>
      </c>
      <c r="C22" s="139">
        <v>2.71</v>
      </c>
      <c r="D22" s="67">
        <f>D18*I22</f>
        <v>67481.41726203208</v>
      </c>
      <c r="E22" s="67">
        <f>E18*I22</f>
        <v>66602.63817112299</v>
      </c>
      <c r="F22" s="67">
        <f t="shared" si="0"/>
        <v>67481.41726203208</v>
      </c>
      <c r="G22" s="68">
        <f t="shared" si="1"/>
        <v>-878.7790909090836</v>
      </c>
      <c r="H22" s="70">
        <f>C22</f>
        <v>2.71</v>
      </c>
      <c r="I22" s="15">
        <f>H22/H18</f>
        <v>0.28983957219251333</v>
      </c>
    </row>
    <row r="23" spans="1:9" ht="15">
      <c r="A23" s="129" t="s">
        <v>25</v>
      </c>
      <c r="B23" s="129" t="s">
        <v>26</v>
      </c>
      <c r="C23" s="152">
        <v>0</v>
      </c>
      <c r="D23" s="147">
        <v>0</v>
      </c>
      <c r="E23" s="147">
        <v>0</v>
      </c>
      <c r="F23" s="146">
        <f t="shared" si="0"/>
        <v>0</v>
      </c>
      <c r="G23" s="147">
        <f t="shared" si="1"/>
        <v>0</v>
      </c>
      <c r="H23" s="162"/>
      <c r="I23" s="162"/>
    </row>
    <row r="24" spans="1:9" ht="15">
      <c r="A24" s="129" t="s">
        <v>27</v>
      </c>
      <c r="B24" s="129" t="s">
        <v>28</v>
      </c>
      <c r="C24" s="152">
        <v>0</v>
      </c>
      <c r="D24" s="147">
        <v>0</v>
      </c>
      <c r="E24" s="147">
        <v>5079.22</v>
      </c>
      <c r="F24" s="147">
        <f t="shared" si="0"/>
        <v>0</v>
      </c>
      <c r="G24" s="147">
        <f t="shared" si="1"/>
        <v>5079.22</v>
      </c>
      <c r="H24" s="162"/>
      <c r="I24" s="162"/>
    </row>
    <row r="25" spans="1:9" ht="15">
      <c r="A25" s="129" t="s">
        <v>29</v>
      </c>
      <c r="B25" s="129" t="s">
        <v>30</v>
      </c>
      <c r="C25" s="152">
        <v>0</v>
      </c>
      <c r="D25" s="147">
        <v>0</v>
      </c>
      <c r="E25" s="147">
        <v>0</v>
      </c>
      <c r="F25" s="147">
        <f t="shared" si="0"/>
        <v>0</v>
      </c>
      <c r="G25" s="147">
        <f t="shared" si="1"/>
        <v>0</v>
      </c>
      <c r="H25" s="162"/>
      <c r="I25" s="162"/>
    </row>
    <row r="26" spans="1:9" ht="15">
      <c r="A26" s="129" t="s">
        <v>31</v>
      </c>
      <c r="B26" s="129" t="s">
        <v>131</v>
      </c>
      <c r="C26" s="152">
        <v>1.92</v>
      </c>
      <c r="D26" s="147">
        <v>47809.38</v>
      </c>
      <c r="E26" s="147">
        <v>47165.93</v>
      </c>
      <c r="F26" s="153">
        <f>F41</f>
        <v>148713.5593</v>
      </c>
      <c r="G26" s="147">
        <f t="shared" si="1"/>
        <v>-643.4499999999971</v>
      </c>
      <c r="H26" s="162"/>
      <c r="I26" s="162"/>
    </row>
    <row r="27" spans="1:9" ht="15">
      <c r="A27" s="185">
        <v>6</v>
      </c>
      <c r="B27" s="191" t="s">
        <v>230</v>
      </c>
      <c r="C27" s="145">
        <v>1832.48</v>
      </c>
      <c r="D27" s="147">
        <v>12990.17</v>
      </c>
      <c r="E27" s="147">
        <v>12823.14</v>
      </c>
      <c r="F27" s="153">
        <f>D27</f>
        <v>12990.17</v>
      </c>
      <c r="G27" s="147">
        <f t="shared" si="1"/>
        <v>-167.03000000000065</v>
      </c>
      <c r="H27" s="162"/>
      <c r="I27" s="162"/>
    </row>
    <row r="28" spans="1:9" ht="15">
      <c r="A28" s="185">
        <f>A27+1</f>
        <v>7</v>
      </c>
      <c r="B28" s="129" t="s">
        <v>36</v>
      </c>
      <c r="C28" s="215"/>
      <c r="D28" s="147">
        <f>SUM(D29:D32)</f>
        <v>1177310.59</v>
      </c>
      <c r="E28" s="147">
        <f>SUM(E29:E32)</f>
        <v>1182143.57</v>
      </c>
      <c r="F28" s="147">
        <f>SUM(F29:F32)</f>
        <v>1177310.59</v>
      </c>
      <c r="G28" s="147">
        <f>SUM(G29:G32)</f>
        <v>4832.980000000016</v>
      </c>
      <c r="H28" s="162"/>
      <c r="I28" s="162"/>
    </row>
    <row r="29" spans="1:7" ht="15">
      <c r="A29" s="98" t="s">
        <v>37</v>
      </c>
      <c r="B29" s="9" t="s">
        <v>106</v>
      </c>
      <c r="C29" s="134" t="s">
        <v>315</v>
      </c>
      <c r="D29" s="68">
        <v>13082.48</v>
      </c>
      <c r="E29" s="68">
        <v>12980.63</v>
      </c>
      <c r="F29" s="68">
        <f>D29</f>
        <v>13082.48</v>
      </c>
      <c r="G29" s="68">
        <f>E29-D29</f>
        <v>-101.85000000000036</v>
      </c>
    </row>
    <row r="30" spans="1:7" ht="15">
      <c r="A30" s="98" t="s">
        <v>39</v>
      </c>
      <c r="B30" s="9" t="s">
        <v>168</v>
      </c>
      <c r="C30" s="134" t="s">
        <v>314</v>
      </c>
      <c r="D30" s="68">
        <v>243467.45</v>
      </c>
      <c r="E30" s="68">
        <v>245997.99</v>
      </c>
      <c r="F30" s="68">
        <f>D30</f>
        <v>243467.45</v>
      </c>
      <c r="G30" s="68">
        <f>E30-D30</f>
        <v>2530.539999999979</v>
      </c>
    </row>
    <row r="31" spans="1:7" ht="15">
      <c r="A31" s="98" t="s">
        <v>42</v>
      </c>
      <c r="B31" s="9" t="s">
        <v>170</v>
      </c>
      <c r="C31" s="182" t="s">
        <v>346</v>
      </c>
      <c r="D31" s="68">
        <v>416246.85</v>
      </c>
      <c r="E31" s="68">
        <v>420294.15</v>
      </c>
      <c r="F31" s="68">
        <f>D31</f>
        <v>416246.85</v>
      </c>
      <c r="G31" s="68">
        <f>E31-D31</f>
        <v>4047.3000000000466</v>
      </c>
    </row>
    <row r="32" spans="1:7" ht="15">
      <c r="A32" s="98" t="s">
        <v>41</v>
      </c>
      <c r="B32" s="9" t="s">
        <v>43</v>
      </c>
      <c r="C32" s="134" t="s">
        <v>316</v>
      </c>
      <c r="D32" s="68">
        <v>504513.81</v>
      </c>
      <c r="E32" s="68">
        <v>502870.8</v>
      </c>
      <c r="F32" s="68">
        <f>D32</f>
        <v>504513.81</v>
      </c>
      <c r="G32" s="68">
        <f>E32-D32</f>
        <v>-1643.0100000000093</v>
      </c>
    </row>
    <row r="33" spans="1:10" s="20" customFormat="1" ht="10.5" customHeight="1" thickBot="1">
      <c r="A33" s="21"/>
      <c r="B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265" t="s">
        <v>299</v>
      </c>
      <c r="B34" s="266"/>
      <c r="C34" s="266"/>
      <c r="D34" s="73">
        <f>D13+D18+D23+D24+D25+D26+D27+D28-E18-E23-E24-E25-E26-E27-E28</f>
        <v>106152.27000000002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G15+E26-F26</f>
        <v>90702.91070000001</v>
      </c>
      <c r="H36" s="40"/>
      <c r="I36" s="40"/>
    </row>
    <row r="37" spans="1:9" s="15" customFormat="1" ht="15">
      <c r="A37" s="89"/>
      <c r="B37" s="41"/>
      <c r="C37" s="41"/>
      <c r="D37" s="42"/>
      <c r="E37" s="39"/>
      <c r="F37" s="39"/>
      <c r="G37" s="42"/>
      <c r="H37" s="40"/>
      <c r="I37" s="40"/>
    </row>
    <row r="38" spans="1:9" ht="26.25" customHeight="1">
      <c r="A38" s="316" t="s">
        <v>44</v>
      </c>
      <c r="B38" s="316"/>
      <c r="C38" s="316"/>
      <c r="D38" s="316"/>
      <c r="E38" s="316"/>
      <c r="F38" s="316"/>
      <c r="G38" s="316"/>
      <c r="H38" s="316"/>
      <c r="I38" s="316"/>
    </row>
    <row r="39" ht="3.75" customHeight="1"/>
    <row r="40" spans="1:7" s="7" customFormat="1" ht="28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</row>
    <row r="41" spans="1:7" s="12" customFormat="1" ht="13.5" customHeight="1">
      <c r="A41" s="11" t="s">
        <v>47</v>
      </c>
      <c r="B41" s="287" t="s">
        <v>126</v>
      </c>
      <c r="C41" s="288"/>
      <c r="D41" s="157"/>
      <c r="E41" s="157"/>
      <c r="F41" s="295">
        <f>SUM(F42:L45)</f>
        <v>148713.5593</v>
      </c>
      <c r="G41" s="291"/>
    </row>
    <row r="42" spans="1:9" s="12" customFormat="1" ht="15">
      <c r="A42" s="9" t="s">
        <v>16</v>
      </c>
      <c r="B42" s="271" t="s">
        <v>512</v>
      </c>
      <c r="C42" s="273"/>
      <c r="D42" s="158" t="s">
        <v>234</v>
      </c>
      <c r="E42" s="158"/>
      <c r="F42" s="308">
        <v>5584.4</v>
      </c>
      <c r="G42" s="309"/>
      <c r="H42" s="1"/>
      <c r="I42" s="1"/>
    </row>
    <row r="43" spans="1:9" s="12" customFormat="1" ht="15">
      <c r="A43" s="9" t="s">
        <v>18</v>
      </c>
      <c r="B43" s="271" t="s">
        <v>513</v>
      </c>
      <c r="C43" s="273"/>
      <c r="D43" s="158" t="s">
        <v>412</v>
      </c>
      <c r="E43" s="158">
        <v>0.3</v>
      </c>
      <c r="F43" s="308">
        <v>42139.25</v>
      </c>
      <c r="G43" s="309"/>
      <c r="H43" s="1"/>
      <c r="I43" s="1"/>
    </row>
    <row r="44" spans="1:9" s="12" customFormat="1" ht="15">
      <c r="A44" s="9" t="s">
        <v>20</v>
      </c>
      <c r="B44" s="271" t="s">
        <v>514</v>
      </c>
      <c r="C44" s="273"/>
      <c r="D44" s="158" t="s">
        <v>461</v>
      </c>
      <c r="E44" s="158">
        <v>0.132</v>
      </c>
      <c r="F44" s="308">
        <v>100518.25</v>
      </c>
      <c r="G44" s="309"/>
      <c r="H44" s="1"/>
      <c r="I44" s="1"/>
    </row>
    <row r="45" spans="1:9" s="3" customFormat="1" ht="15">
      <c r="A45" s="9" t="s">
        <v>22</v>
      </c>
      <c r="B45" s="131" t="s">
        <v>286</v>
      </c>
      <c r="C45" s="132"/>
      <c r="D45" s="158"/>
      <c r="E45" s="158"/>
      <c r="F45" s="294">
        <f>E26*1%</f>
        <v>471.65930000000003</v>
      </c>
      <c r="G45" s="294"/>
      <c r="H45" s="1"/>
      <c r="I45" s="1"/>
    </row>
    <row r="46" spans="1:9" s="3" customFormat="1" ht="11.25" customHeight="1">
      <c r="A46" s="49"/>
      <c r="B46" s="74"/>
      <c r="C46" s="74"/>
      <c r="D46" s="245"/>
      <c r="E46" s="245"/>
      <c r="F46" s="75"/>
      <c r="G46" s="75"/>
      <c r="H46" s="1"/>
      <c r="I46" s="1"/>
    </row>
    <row r="47" spans="1:9" s="3" customFormat="1" ht="15">
      <c r="A47" s="3" t="s">
        <v>55</v>
      </c>
      <c r="C47" s="3" t="s">
        <v>49</v>
      </c>
      <c r="F47" s="3" t="s">
        <v>102</v>
      </c>
      <c r="H47" s="1"/>
      <c r="I47" s="1"/>
    </row>
    <row r="48" spans="6:9" s="3" customFormat="1" ht="15">
      <c r="F48" s="4" t="s">
        <v>303</v>
      </c>
      <c r="H48" s="1"/>
      <c r="I48" s="1"/>
    </row>
  </sheetData>
  <sheetProtection/>
  <mergeCells count="21">
    <mergeCell ref="F41:G41"/>
    <mergeCell ref="A34:C34"/>
    <mergeCell ref="B42:C42"/>
    <mergeCell ref="A12:I12"/>
    <mergeCell ref="F45:G45"/>
    <mergeCell ref="F40:G40"/>
    <mergeCell ref="B43:C43"/>
    <mergeCell ref="F43:G43"/>
    <mergeCell ref="B44:C44"/>
    <mergeCell ref="F44:G44"/>
    <mergeCell ref="F42:G42"/>
    <mergeCell ref="A11:I11"/>
    <mergeCell ref="B40:C40"/>
    <mergeCell ref="A13:C13"/>
    <mergeCell ref="B41:C41"/>
    <mergeCell ref="A38:I38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7109375" style="1" customWidth="1"/>
    <col min="2" max="2" width="40.57421875" style="1" customWidth="1"/>
    <col min="3" max="3" width="13.140625" style="1" customWidth="1"/>
    <col min="4" max="5" width="13.140625" style="1" bestFit="1" customWidth="1"/>
    <col min="6" max="6" width="15.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4" width="14.7109375" style="1" customWidth="1"/>
    <col min="15" max="15" width="15.7109375" style="1" customWidth="1"/>
    <col min="16" max="16" width="11.00390625" style="1" customWidth="1"/>
    <col min="17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9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6.5" customHeight="1">
      <c r="A7" s="3" t="s">
        <v>2</v>
      </c>
      <c r="F7" s="4" t="s">
        <v>57</v>
      </c>
    </row>
    <row r="8" spans="1:6" s="3" customFormat="1" ht="15">
      <c r="A8" s="3" t="s">
        <v>3</v>
      </c>
      <c r="F8" s="4" t="s">
        <v>58</v>
      </c>
    </row>
    <row r="9" s="3" customFormat="1" ht="12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16" s="15" customFormat="1" ht="16.5" customHeight="1" thickBot="1">
      <c r="A13" s="265" t="s">
        <v>294</v>
      </c>
      <c r="B13" s="266"/>
      <c r="C13" s="266"/>
      <c r="D13" s="79">
        <v>81799.76</v>
      </c>
      <c r="E13" s="39"/>
      <c r="F13" s="39"/>
      <c r="G13" s="39"/>
      <c r="H13" s="40"/>
      <c r="I13" s="40"/>
      <c r="N13" s="3"/>
      <c r="O13" s="3"/>
      <c r="P13" s="3"/>
    </row>
    <row r="14" spans="1:16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  <c r="N14" s="3"/>
      <c r="O14" s="3"/>
      <c r="P14" s="3"/>
    </row>
    <row r="15" spans="1:16" s="15" customFormat="1" ht="15.75" thickBot="1">
      <c r="A15" s="87" t="s">
        <v>228</v>
      </c>
      <c r="B15" s="43"/>
      <c r="C15" s="43"/>
      <c r="D15" s="44"/>
      <c r="E15" s="45"/>
      <c r="F15" s="45"/>
      <c r="G15" s="38">
        <v>21012.7</v>
      </c>
      <c r="H15" s="40"/>
      <c r="I15" s="40"/>
      <c r="N15" s="3"/>
      <c r="O15" s="3"/>
      <c r="P15" s="3"/>
    </row>
    <row r="16" spans="1:16" s="15" customFormat="1" ht="15.75" thickBot="1">
      <c r="A16" s="87" t="s">
        <v>206</v>
      </c>
      <c r="B16" s="43"/>
      <c r="C16" s="43"/>
      <c r="D16" s="44"/>
      <c r="E16" s="45"/>
      <c r="F16" s="45"/>
      <c r="G16" s="38">
        <v>-3336.25</v>
      </c>
      <c r="H16" s="40"/>
      <c r="I16" s="40"/>
      <c r="N16" s="3"/>
      <c r="O16" s="3"/>
      <c r="P16" s="3"/>
    </row>
    <row r="17" s="3" customFormat="1" ht="7.5" customHeight="1"/>
    <row r="18" spans="1:8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  <c r="H18" s="6"/>
    </row>
    <row r="19" spans="1:16" s="165" customFormat="1" ht="14.25">
      <c r="A19" s="163" t="s">
        <v>14</v>
      </c>
      <c r="B19" s="36" t="s">
        <v>15</v>
      </c>
      <c r="C19" s="145">
        <f>C20+C21+C22+C23</f>
        <v>8.93</v>
      </c>
      <c r="D19" s="146">
        <v>301312.32</v>
      </c>
      <c r="E19" s="146">
        <v>290026.33</v>
      </c>
      <c r="F19" s="146">
        <f aca="true" t="shared" si="0" ref="F19:F25">D19</f>
        <v>301312.32</v>
      </c>
      <c r="G19" s="147">
        <f aca="true" t="shared" si="1" ref="G19:G27">D19-E19</f>
        <v>11285.98999999999</v>
      </c>
      <c r="H19" s="164">
        <f>C19</f>
        <v>8.93</v>
      </c>
      <c r="N19" s="164"/>
      <c r="O19" s="164"/>
      <c r="P19" s="164"/>
    </row>
    <row r="20" spans="1:9" s="3" customFormat="1" ht="15">
      <c r="A20" s="8" t="s">
        <v>16</v>
      </c>
      <c r="B20" s="28" t="s">
        <v>17</v>
      </c>
      <c r="C20" s="139">
        <v>3.22</v>
      </c>
      <c r="D20" s="67">
        <f>D19*I20</f>
        <v>108647.89142217247</v>
      </c>
      <c r="E20" s="67">
        <f>E19*I20</f>
        <v>104578.36311310192</v>
      </c>
      <c r="F20" s="67">
        <f t="shared" si="0"/>
        <v>108647.89142217247</v>
      </c>
      <c r="G20" s="68">
        <f t="shared" si="1"/>
        <v>4069.528309070549</v>
      </c>
      <c r="H20" s="117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28" t="s">
        <v>19</v>
      </c>
      <c r="C21" s="139">
        <f>1.43+0.15</f>
        <v>1.5799999999999998</v>
      </c>
      <c r="D21" s="67">
        <f>D19*I21</f>
        <v>53311.69827547592</v>
      </c>
      <c r="E21" s="67">
        <f>E19*I21</f>
        <v>51314.84898096304</v>
      </c>
      <c r="F21" s="67">
        <f t="shared" si="0"/>
        <v>53311.69827547592</v>
      </c>
      <c r="G21" s="68">
        <f t="shared" si="1"/>
        <v>1996.849294512882</v>
      </c>
      <c r="H21" s="117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28" t="s">
        <v>21</v>
      </c>
      <c r="C22" s="139">
        <f>1.89-0.47</f>
        <v>1.42</v>
      </c>
      <c r="D22" s="67">
        <f>D19*I22</f>
        <v>47913.045285554304</v>
      </c>
      <c r="E22" s="67">
        <f>E19*I22</f>
        <v>46118.40857782755</v>
      </c>
      <c r="F22" s="67">
        <f t="shared" si="0"/>
        <v>47913.045285554304</v>
      </c>
      <c r="G22" s="68">
        <f t="shared" si="1"/>
        <v>1794.6367077267569</v>
      </c>
      <c r="H22" s="117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28" t="s">
        <v>23</v>
      </c>
      <c r="C23" s="139">
        <v>2.71</v>
      </c>
      <c r="D23" s="67">
        <f>D19*I23</f>
        <v>91439.68501679732</v>
      </c>
      <c r="E23" s="67">
        <f>E19*I23</f>
        <v>88014.7093281075</v>
      </c>
      <c r="F23" s="67">
        <f t="shared" si="0"/>
        <v>91439.68501679732</v>
      </c>
      <c r="G23" s="68">
        <f t="shared" si="1"/>
        <v>3424.9756886898103</v>
      </c>
      <c r="H23" s="117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28</v>
      </c>
      <c r="C24" s="152">
        <v>0</v>
      </c>
      <c r="D24" s="147">
        <v>0</v>
      </c>
      <c r="E24" s="147">
        <v>3593.37</v>
      </c>
      <c r="F24" s="147">
        <f t="shared" si="0"/>
        <v>0</v>
      </c>
      <c r="G24" s="147">
        <f t="shared" si="1"/>
        <v>-3593.37</v>
      </c>
    </row>
    <row r="25" spans="1:7" s="162" customFormat="1" ht="14.25">
      <c r="A25" s="129" t="s">
        <v>27</v>
      </c>
      <c r="B25" s="151" t="s">
        <v>230</v>
      </c>
      <c r="C25" s="152">
        <v>1832.48</v>
      </c>
      <c r="D25" s="147">
        <v>13010.68</v>
      </c>
      <c r="E25" s="147">
        <v>12467.67</v>
      </c>
      <c r="F25" s="147">
        <f t="shared" si="0"/>
        <v>13010.68</v>
      </c>
      <c r="G25" s="147">
        <f t="shared" si="1"/>
        <v>543.0100000000002</v>
      </c>
    </row>
    <row r="26" spans="1:7" s="162" customFormat="1" ht="14.25">
      <c r="A26" s="129" t="s">
        <v>29</v>
      </c>
      <c r="B26" s="151" t="s">
        <v>131</v>
      </c>
      <c r="C26" s="152">
        <v>1.74</v>
      </c>
      <c r="D26" s="147">
        <v>58710</v>
      </c>
      <c r="E26" s="147">
        <v>56530.87</v>
      </c>
      <c r="F26" s="153">
        <f>F43</f>
        <v>71571.0287</v>
      </c>
      <c r="G26" s="147">
        <f t="shared" si="1"/>
        <v>2179.1299999999974</v>
      </c>
    </row>
    <row r="27" spans="1:7" s="162" customFormat="1" ht="14.25">
      <c r="A27" s="170" t="s">
        <v>322</v>
      </c>
      <c r="B27" s="36" t="s">
        <v>34</v>
      </c>
      <c r="C27" s="145">
        <v>0</v>
      </c>
      <c r="D27" s="113">
        <v>0</v>
      </c>
      <c r="E27" s="113">
        <v>214.71</v>
      </c>
      <c r="F27" s="153">
        <f aca="true" t="shared" si="2" ref="F27:F32">D27</f>
        <v>0</v>
      </c>
      <c r="G27" s="147">
        <f t="shared" si="1"/>
        <v>-214.71</v>
      </c>
    </row>
    <row r="28" spans="1:7" s="162" customFormat="1" ht="14.25">
      <c r="A28" s="129" t="s">
        <v>323</v>
      </c>
      <c r="B28" s="36" t="s">
        <v>36</v>
      </c>
      <c r="C28" s="145"/>
      <c r="D28" s="147">
        <f>SUM(D29:D32)</f>
        <v>1191818.5699999998</v>
      </c>
      <c r="E28" s="147">
        <f>SUM(E29:E32)</f>
        <v>1158840.45</v>
      </c>
      <c r="F28" s="147">
        <f>SUM(F29:F32)</f>
        <v>1191818.5699999998</v>
      </c>
      <c r="G28" s="147">
        <f>SUM(G29:G32)</f>
        <v>32978.11999999997</v>
      </c>
    </row>
    <row r="29" spans="1:7" s="162" customFormat="1" ht="15">
      <c r="A29" s="9" t="s">
        <v>324</v>
      </c>
      <c r="B29" s="9" t="s">
        <v>235</v>
      </c>
      <c r="C29" s="134" t="s">
        <v>315</v>
      </c>
      <c r="D29" s="68">
        <v>27413.88</v>
      </c>
      <c r="E29" s="68">
        <v>26393.73</v>
      </c>
      <c r="F29" s="216">
        <f t="shared" si="2"/>
        <v>27413.88</v>
      </c>
      <c r="G29" s="68">
        <f>D29-E29</f>
        <v>1020.1500000000015</v>
      </c>
    </row>
    <row r="30" spans="1:7" ht="15">
      <c r="A30" s="9" t="s">
        <v>325</v>
      </c>
      <c r="B30" s="9" t="s">
        <v>168</v>
      </c>
      <c r="C30" s="134" t="s">
        <v>314</v>
      </c>
      <c r="D30" s="68">
        <v>415130.99</v>
      </c>
      <c r="E30" s="68">
        <v>408385.65</v>
      </c>
      <c r="F30" s="216">
        <f t="shared" si="2"/>
        <v>415130.99</v>
      </c>
      <c r="G30" s="68">
        <f>D30-E30</f>
        <v>6745.339999999967</v>
      </c>
    </row>
    <row r="31" spans="1:7" ht="15">
      <c r="A31" s="9" t="s">
        <v>326</v>
      </c>
      <c r="B31" s="9" t="s">
        <v>40</v>
      </c>
      <c r="C31" s="182">
        <v>0</v>
      </c>
      <c r="D31" s="68">
        <v>0</v>
      </c>
      <c r="E31" s="68">
        <v>0</v>
      </c>
      <c r="F31" s="216">
        <f t="shared" si="2"/>
        <v>0</v>
      </c>
      <c r="G31" s="68">
        <f>D31-E31</f>
        <v>0</v>
      </c>
    </row>
    <row r="32" spans="1:7" ht="15">
      <c r="A32" s="9" t="s">
        <v>327</v>
      </c>
      <c r="B32" s="9" t="s">
        <v>43</v>
      </c>
      <c r="C32" s="134" t="s">
        <v>316</v>
      </c>
      <c r="D32" s="68">
        <v>749273.7</v>
      </c>
      <c r="E32" s="68">
        <v>724061.07</v>
      </c>
      <c r="F32" s="216">
        <f t="shared" si="2"/>
        <v>749273.7</v>
      </c>
      <c r="G32" s="68">
        <f>D32-E32</f>
        <v>25212.630000000005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265" t="s">
        <v>299</v>
      </c>
      <c r="B34" s="266"/>
      <c r="C34" s="266"/>
      <c r="D34" s="73">
        <f>D13+D19+D25+D27+D28+D26+D24-E24-E26-E19-E25-E27-E28</f>
        <v>124977.9299999997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G15+E27-F27</f>
        <v>21227.41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G16+E26-F26</f>
        <v>-18376.408699999993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2:5" ht="9.75" customHeight="1">
      <c r="B39" s="13"/>
      <c r="C39" s="13"/>
      <c r="D39" s="13"/>
      <c r="E39" s="13"/>
    </row>
    <row r="40" spans="1:9" ht="26.2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7.5" customHeight="1"/>
    <row r="42" spans="1:7" s="7" customFormat="1" ht="28.5" customHeight="1">
      <c r="A42" s="5" t="s">
        <v>11</v>
      </c>
      <c r="B42" s="166" t="s">
        <v>45</v>
      </c>
      <c r="C42" s="167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3.5" customHeight="1">
      <c r="A43" s="11" t="s">
        <v>47</v>
      </c>
      <c r="B43" s="287" t="s">
        <v>126</v>
      </c>
      <c r="C43" s="288"/>
      <c r="D43" s="11"/>
      <c r="E43" s="11"/>
      <c r="F43" s="295">
        <f>SUM(F44:G47)</f>
        <v>71571.0287</v>
      </c>
      <c r="G43" s="291"/>
    </row>
    <row r="44" spans="1:7" ht="15">
      <c r="A44" s="9" t="s">
        <v>16</v>
      </c>
      <c r="B44" s="131" t="s">
        <v>293</v>
      </c>
      <c r="C44" s="132"/>
      <c r="D44" s="158" t="s">
        <v>412</v>
      </c>
      <c r="E44" s="158">
        <v>0.04</v>
      </c>
      <c r="F44" s="294">
        <v>2267.19</v>
      </c>
      <c r="G44" s="294"/>
    </row>
    <row r="45" spans="1:7" ht="15">
      <c r="A45" s="9" t="s">
        <v>18</v>
      </c>
      <c r="B45" s="131" t="s">
        <v>250</v>
      </c>
      <c r="C45" s="132"/>
      <c r="D45" s="158" t="s">
        <v>239</v>
      </c>
      <c r="E45" s="158">
        <v>600</v>
      </c>
      <c r="F45" s="294">
        <v>7182</v>
      </c>
      <c r="G45" s="294"/>
    </row>
    <row r="46" spans="1:7" ht="15">
      <c r="A46" s="9" t="s">
        <v>20</v>
      </c>
      <c r="B46" s="131" t="s">
        <v>453</v>
      </c>
      <c r="C46" s="132"/>
      <c r="D46" s="158" t="s">
        <v>238</v>
      </c>
      <c r="E46" s="158">
        <v>1.4</v>
      </c>
      <c r="F46" s="294">
        <v>61556.53</v>
      </c>
      <c r="G46" s="294"/>
    </row>
    <row r="47" spans="1:7" ht="15">
      <c r="A47" s="9" t="s">
        <v>22</v>
      </c>
      <c r="B47" s="131" t="s">
        <v>286</v>
      </c>
      <c r="C47" s="132"/>
      <c r="D47" s="156"/>
      <c r="E47" s="156"/>
      <c r="F47" s="294">
        <f>E26*1%</f>
        <v>565.3087</v>
      </c>
      <c r="G47" s="294"/>
    </row>
    <row r="48" spans="1:7" ht="12.75" customHeight="1">
      <c r="A48" s="49"/>
      <c r="B48" s="74"/>
      <c r="C48" s="74"/>
      <c r="D48" s="74"/>
      <c r="E48" s="74"/>
      <c r="F48" s="75"/>
      <c r="G48" s="75"/>
    </row>
    <row r="49" spans="1:7" ht="12.75" customHeight="1">
      <c r="A49" s="49"/>
      <c r="B49" s="74"/>
      <c r="C49" s="74"/>
      <c r="D49" s="74"/>
      <c r="E49" s="74"/>
      <c r="F49" s="75"/>
      <c r="G49" s="75"/>
    </row>
    <row r="50" s="3" customFormat="1" ht="6.75" customHeight="1"/>
    <row r="51" spans="1:6" s="3" customFormat="1" ht="15">
      <c r="A51" s="3" t="s">
        <v>55</v>
      </c>
      <c r="C51" s="3" t="s">
        <v>49</v>
      </c>
      <c r="F51" s="3" t="s">
        <v>102</v>
      </c>
    </row>
    <row r="52" s="3" customFormat="1" ht="9" customHeight="1"/>
    <row r="53" s="3" customFormat="1" ht="13.5" customHeight="1">
      <c r="F53" s="4" t="s">
        <v>303</v>
      </c>
    </row>
    <row r="54" s="3" customFormat="1" ht="13.5" customHeight="1">
      <c r="A54" s="3" t="s">
        <v>50</v>
      </c>
    </row>
    <row r="55" spans="3:7" s="3" customFormat="1" ht="15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17">
    <mergeCell ref="F44:G44"/>
    <mergeCell ref="A11:I11"/>
    <mergeCell ref="A34:C34"/>
    <mergeCell ref="A12:I12"/>
    <mergeCell ref="A13:C13"/>
    <mergeCell ref="F42:G42"/>
    <mergeCell ref="A40:I40"/>
    <mergeCell ref="A1:I1"/>
    <mergeCell ref="A2:I2"/>
    <mergeCell ref="A5:I5"/>
    <mergeCell ref="A10:I10"/>
    <mergeCell ref="A3:K3"/>
    <mergeCell ref="F47:G47"/>
    <mergeCell ref="F43:G43"/>
    <mergeCell ref="B43:C43"/>
    <mergeCell ref="F45:G45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28" sqref="C28"/>
    </sheetView>
  </sheetViews>
  <sheetFormatPr defaultColWidth="9.140625" defaultRowHeight="15" outlineLevelCol="1"/>
  <cols>
    <col min="1" max="1" width="5.57421875" style="1" customWidth="1"/>
    <col min="2" max="2" width="46.00390625" style="1" customWidth="1"/>
    <col min="3" max="3" width="14.28125" style="1" customWidth="1"/>
    <col min="4" max="5" width="12.7109375" style="1" customWidth="1"/>
    <col min="6" max="6" width="15.14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.7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.75" customHeight="1"/>
    <row r="7" spans="1:6" s="3" customFormat="1" ht="16.5" customHeight="1">
      <c r="A7" s="3" t="s">
        <v>2</v>
      </c>
      <c r="F7" s="4" t="s">
        <v>123</v>
      </c>
    </row>
    <row r="8" spans="1:6" s="3" customFormat="1" ht="15">
      <c r="A8" s="3" t="s">
        <v>3</v>
      </c>
      <c r="F8" s="4" t="s">
        <v>189</v>
      </c>
    </row>
    <row r="9" s="3" customFormat="1" ht="4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891431.29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38">
        <v>-9506.92</v>
      </c>
      <c r="H15" s="40"/>
      <c r="I15" s="40"/>
    </row>
    <row r="16" s="3" customFormat="1" ht="6.75" customHeight="1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9" s="3" customFormat="1" ht="29.25">
      <c r="A18" s="163" t="s">
        <v>14</v>
      </c>
      <c r="B18" s="129" t="s">
        <v>15</v>
      </c>
      <c r="C18" s="145">
        <f>C19+C20+C21+C22</f>
        <v>9.350000000000001</v>
      </c>
      <c r="D18" s="146">
        <v>200301.72</v>
      </c>
      <c r="E18" s="146">
        <v>187234.05</v>
      </c>
      <c r="F18" s="146">
        <f aca="true" t="shared" si="0" ref="F18:F25">D18</f>
        <v>200301.72</v>
      </c>
      <c r="G18" s="147">
        <f>E18-D18</f>
        <v>-13067.670000000013</v>
      </c>
      <c r="H18" s="70">
        <f>C18</f>
        <v>9.350000000000001</v>
      </c>
      <c r="I18" s="165"/>
    </row>
    <row r="19" spans="1:9" s="3" customFormat="1" ht="15">
      <c r="A19" s="8" t="s">
        <v>16</v>
      </c>
      <c r="B19" s="9" t="s">
        <v>17</v>
      </c>
      <c r="C19" s="139">
        <v>3.22</v>
      </c>
      <c r="D19" s="67">
        <f>D18*I19</f>
        <v>68980.91319786097</v>
      </c>
      <c r="E19" s="67">
        <f>E18*I19</f>
        <v>64480.603315508015</v>
      </c>
      <c r="F19" s="67">
        <f t="shared" si="0"/>
        <v>68980.91319786097</v>
      </c>
      <c r="G19" s="68">
        <f aca="true" t="shared" si="1" ref="G19:G27">E19-D19</f>
        <v>-4500.309882352951</v>
      </c>
      <c r="H19" s="70">
        <f>C19</f>
        <v>3.22</v>
      </c>
      <c r="I19" s="15">
        <f>H19/H18</f>
        <v>0.3443850267379679</v>
      </c>
    </row>
    <row r="20" spans="1:9" s="3" customFormat="1" ht="15">
      <c r="A20" s="8" t="s">
        <v>18</v>
      </c>
      <c r="B20" s="9" t="s">
        <v>19</v>
      </c>
      <c r="C20" s="139">
        <v>1.53</v>
      </c>
      <c r="D20" s="67">
        <f>D18*I20</f>
        <v>32776.645090909085</v>
      </c>
      <c r="E20" s="67">
        <f>E18*I20</f>
        <v>30638.299090909084</v>
      </c>
      <c r="F20" s="67">
        <f t="shared" si="0"/>
        <v>32776.645090909085</v>
      </c>
      <c r="G20" s="68">
        <f t="shared" si="1"/>
        <v>-2138.3460000000014</v>
      </c>
      <c r="H20" s="70">
        <f>C20</f>
        <v>1.53</v>
      </c>
      <c r="I20" s="15">
        <f>H20/H18</f>
        <v>0.1636363636363636</v>
      </c>
    </row>
    <row r="21" spans="1:9" s="3" customFormat="1" ht="15">
      <c r="A21" s="8" t="s">
        <v>20</v>
      </c>
      <c r="B21" s="9" t="s">
        <v>21</v>
      </c>
      <c r="C21" s="139">
        <f>0.5+0.47+0.3+0.3+0.18+0.14</f>
        <v>1.8900000000000001</v>
      </c>
      <c r="D21" s="67">
        <f>D18*I21</f>
        <v>40488.79687700534</v>
      </c>
      <c r="E21" s="67">
        <f>E18*I21</f>
        <v>37847.31064171122</v>
      </c>
      <c r="F21" s="67">
        <f t="shared" si="0"/>
        <v>40488.79687700534</v>
      </c>
      <c r="G21" s="68">
        <f t="shared" si="1"/>
        <v>-2641.48623529412</v>
      </c>
      <c r="H21" s="70">
        <f>C21</f>
        <v>1.8900000000000001</v>
      </c>
      <c r="I21" s="15">
        <f>H21/H18</f>
        <v>0.20213903743315506</v>
      </c>
    </row>
    <row r="22" spans="1:9" s="3" customFormat="1" ht="15">
      <c r="A22" s="8" t="s">
        <v>22</v>
      </c>
      <c r="B22" s="9" t="s">
        <v>23</v>
      </c>
      <c r="C22" s="139">
        <v>2.71</v>
      </c>
      <c r="D22" s="67">
        <f>D18*I22</f>
        <v>58055.364834224594</v>
      </c>
      <c r="E22" s="67">
        <f>E18*I22</f>
        <v>54267.83695187165</v>
      </c>
      <c r="F22" s="67">
        <f t="shared" si="0"/>
        <v>58055.364834224594</v>
      </c>
      <c r="G22" s="68">
        <f t="shared" si="1"/>
        <v>-3787.5278823529443</v>
      </c>
      <c r="H22" s="70">
        <f>C22</f>
        <v>2.71</v>
      </c>
      <c r="I22" s="15">
        <f>H22/H18</f>
        <v>0.28983957219251333</v>
      </c>
    </row>
    <row r="23" spans="1:9" ht="15">
      <c r="A23" s="129" t="s">
        <v>25</v>
      </c>
      <c r="B23" s="129" t="s">
        <v>26</v>
      </c>
      <c r="C23" s="152">
        <v>0</v>
      </c>
      <c r="D23" s="147">
        <v>0</v>
      </c>
      <c r="E23" s="147">
        <v>0</v>
      </c>
      <c r="F23" s="146">
        <f t="shared" si="0"/>
        <v>0</v>
      </c>
      <c r="G23" s="147">
        <f t="shared" si="1"/>
        <v>0</v>
      </c>
      <c r="H23" s="162"/>
      <c r="I23" s="162"/>
    </row>
    <row r="24" spans="1:9" ht="15">
      <c r="A24" s="129" t="s">
        <v>27</v>
      </c>
      <c r="B24" s="129" t="s">
        <v>28</v>
      </c>
      <c r="C24" s="152">
        <v>0</v>
      </c>
      <c r="D24" s="147">
        <v>0</v>
      </c>
      <c r="E24" s="147">
        <v>10721.57</v>
      </c>
      <c r="F24" s="147">
        <f t="shared" si="0"/>
        <v>0</v>
      </c>
      <c r="G24" s="147">
        <f t="shared" si="1"/>
        <v>10721.57</v>
      </c>
      <c r="H24" s="162"/>
      <c r="I24" s="162"/>
    </row>
    <row r="25" spans="1:9" ht="15">
      <c r="A25" s="129" t="s">
        <v>29</v>
      </c>
      <c r="B25" s="129" t="s">
        <v>30</v>
      </c>
      <c r="C25" s="152">
        <v>0</v>
      </c>
      <c r="D25" s="147">
        <v>0</v>
      </c>
      <c r="E25" s="147">
        <v>0</v>
      </c>
      <c r="F25" s="147">
        <f t="shared" si="0"/>
        <v>0</v>
      </c>
      <c r="G25" s="147">
        <f t="shared" si="1"/>
        <v>0</v>
      </c>
      <c r="H25" s="162"/>
      <c r="I25" s="162"/>
    </row>
    <row r="26" spans="1:9" ht="15">
      <c r="A26" s="129" t="s">
        <v>31</v>
      </c>
      <c r="B26" s="129" t="s">
        <v>131</v>
      </c>
      <c r="C26" s="152">
        <v>1.92</v>
      </c>
      <c r="D26" s="147">
        <v>41130.96</v>
      </c>
      <c r="E26" s="147">
        <v>38749.55</v>
      </c>
      <c r="F26" s="153">
        <f>F41</f>
        <v>387.49550000000005</v>
      </c>
      <c r="G26" s="147">
        <f t="shared" si="1"/>
        <v>-2381.409999999996</v>
      </c>
      <c r="H26" s="162"/>
      <c r="I26" s="162"/>
    </row>
    <row r="27" spans="1:9" ht="15">
      <c r="A27" s="185">
        <v>6</v>
      </c>
      <c r="B27" s="191" t="s">
        <v>230</v>
      </c>
      <c r="C27" s="145">
        <v>1832.48</v>
      </c>
      <c r="D27" s="147">
        <v>9682.61</v>
      </c>
      <c r="E27" s="147">
        <v>9204.24</v>
      </c>
      <c r="F27" s="153">
        <f>D27</f>
        <v>9682.61</v>
      </c>
      <c r="G27" s="147">
        <f t="shared" si="1"/>
        <v>-478.3700000000008</v>
      </c>
      <c r="H27" s="162"/>
      <c r="I27" s="162"/>
    </row>
    <row r="28" spans="1:9" ht="15">
      <c r="A28" s="185">
        <f>A27+1</f>
        <v>7</v>
      </c>
      <c r="B28" s="129" t="s">
        <v>36</v>
      </c>
      <c r="C28" s="215"/>
      <c r="D28" s="147">
        <f>SUM(D29:D32)</f>
        <v>867446.95</v>
      </c>
      <c r="E28" s="147">
        <f>SUM(E29:E32)</f>
        <v>784495.98</v>
      </c>
      <c r="F28" s="147">
        <f>SUM(F29:F32)</f>
        <v>867446.95</v>
      </c>
      <c r="G28" s="147">
        <f>SUM(G29:G32)</f>
        <v>-82950.97000000003</v>
      </c>
      <c r="H28" s="162"/>
      <c r="I28" s="162"/>
    </row>
    <row r="29" spans="1:7" ht="15">
      <c r="A29" s="98" t="s">
        <v>37</v>
      </c>
      <c r="B29" s="9" t="s">
        <v>106</v>
      </c>
      <c r="C29" s="134" t="s">
        <v>315</v>
      </c>
      <c r="D29" s="68">
        <v>13675.92</v>
      </c>
      <c r="E29" s="68">
        <v>11100.32</v>
      </c>
      <c r="F29" s="68">
        <f>D29</f>
        <v>13675.92</v>
      </c>
      <c r="G29" s="68">
        <f>E29-D29</f>
        <v>-2575.6000000000004</v>
      </c>
    </row>
    <row r="30" spans="1:7" ht="15">
      <c r="A30" s="98" t="s">
        <v>39</v>
      </c>
      <c r="B30" s="9" t="s">
        <v>168</v>
      </c>
      <c r="C30" s="134" t="s">
        <v>314</v>
      </c>
      <c r="D30" s="68">
        <v>150125.52</v>
      </c>
      <c r="E30" s="68">
        <v>128904.56</v>
      </c>
      <c r="F30" s="68">
        <f>D30</f>
        <v>150125.52</v>
      </c>
      <c r="G30" s="68">
        <f>E30-D30</f>
        <v>-21220.959999999992</v>
      </c>
    </row>
    <row r="31" spans="1:7" ht="15">
      <c r="A31" s="98" t="s">
        <v>42</v>
      </c>
      <c r="B31" s="9" t="s">
        <v>170</v>
      </c>
      <c r="C31" s="182" t="s">
        <v>346</v>
      </c>
      <c r="D31" s="68">
        <v>258226.07</v>
      </c>
      <c r="E31" s="68">
        <v>218466.8</v>
      </c>
      <c r="F31" s="68">
        <f>D31</f>
        <v>258226.07</v>
      </c>
      <c r="G31" s="68">
        <f>E31-D31</f>
        <v>-39759.27000000002</v>
      </c>
    </row>
    <row r="32" spans="1:7" ht="15">
      <c r="A32" s="98" t="s">
        <v>41</v>
      </c>
      <c r="B32" s="9" t="s">
        <v>43</v>
      </c>
      <c r="C32" s="134" t="s">
        <v>316</v>
      </c>
      <c r="D32" s="68">
        <v>445419.44</v>
      </c>
      <c r="E32" s="68">
        <v>426024.3</v>
      </c>
      <c r="F32" s="68">
        <f>D32</f>
        <v>445419.44</v>
      </c>
      <c r="G32" s="68">
        <f>E32-D32</f>
        <v>-19395.140000000014</v>
      </c>
    </row>
    <row r="33" spans="1:10" s="20" customFormat="1" ht="4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265" t="s">
        <v>299</v>
      </c>
      <c r="B34" s="266"/>
      <c r="C34" s="266"/>
      <c r="D34" s="73">
        <f>D13+D18+D23+D24+D25+D26+D27+D28-E18-E23-E24-E25-E26-E27-E28</f>
        <v>979588.1399999999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G15+E26-F26</f>
        <v>28855.134500000004</v>
      </c>
      <c r="H36" s="40"/>
      <c r="I36" s="40"/>
    </row>
    <row r="37" spans="1:9" s="15" customFormat="1" ht="15">
      <c r="A37" s="89"/>
      <c r="B37" s="41"/>
      <c r="C37" s="41"/>
      <c r="D37" s="42"/>
      <c r="E37" s="39"/>
      <c r="F37" s="39"/>
      <c r="G37" s="42"/>
      <c r="H37" s="40"/>
      <c r="I37" s="40"/>
    </row>
    <row r="38" spans="1:9" ht="26.25" customHeight="1">
      <c r="A38" s="316" t="s">
        <v>44</v>
      </c>
      <c r="B38" s="316"/>
      <c r="C38" s="316"/>
      <c r="D38" s="316"/>
      <c r="E38" s="316"/>
      <c r="F38" s="316"/>
      <c r="G38" s="316"/>
      <c r="H38" s="316"/>
      <c r="I38" s="316"/>
    </row>
    <row r="39" ht="3.75" customHeight="1"/>
    <row r="40" spans="1:7" s="7" customFormat="1" ht="28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</row>
    <row r="41" spans="1:7" s="12" customFormat="1" ht="13.5" customHeight="1">
      <c r="A41" s="11" t="s">
        <v>47</v>
      </c>
      <c r="B41" s="287" t="s">
        <v>126</v>
      </c>
      <c r="C41" s="288"/>
      <c r="D41" s="157"/>
      <c r="E41" s="157"/>
      <c r="F41" s="295">
        <f>SUM(F42:L42)</f>
        <v>387.49550000000005</v>
      </c>
      <c r="G41" s="291"/>
    </row>
    <row r="42" spans="1:7" ht="15">
      <c r="A42" s="9" t="s">
        <v>16</v>
      </c>
      <c r="B42" s="131" t="s">
        <v>286</v>
      </c>
      <c r="C42" s="132"/>
      <c r="D42" s="158"/>
      <c r="E42" s="158"/>
      <c r="F42" s="294">
        <f>E26*1%</f>
        <v>387.49550000000005</v>
      </c>
      <c r="G42" s="294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 t="s">
        <v>55</v>
      </c>
      <c r="B44" s="3"/>
      <c r="C44" s="3" t="s">
        <v>49</v>
      </c>
      <c r="D44" s="3"/>
      <c r="E44" s="3"/>
      <c r="F44" s="3" t="s">
        <v>102</v>
      </c>
      <c r="G44" s="3"/>
    </row>
    <row r="45" spans="1:7" ht="15">
      <c r="A45" s="3"/>
      <c r="B45" s="3"/>
      <c r="C45" s="3"/>
      <c r="D45" s="3"/>
      <c r="E45" s="3"/>
      <c r="F45" s="4" t="s">
        <v>303</v>
      </c>
      <c r="G45" s="3"/>
    </row>
    <row r="46" spans="1:7" ht="15">
      <c r="A46" s="3" t="s">
        <v>50</v>
      </c>
      <c r="B46" s="3"/>
      <c r="C46" s="3"/>
      <c r="D46" s="3"/>
      <c r="E46" s="3"/>
      <c r="F46" s="3"/>
      <c r="G46" s="3"/>
    </row>
    <row r="47" spans="1:7" ht="15">
      <c r="A47" s="3"/>
      <c r="B47" s="3"/>
      <c r="C47" s="14" t="s">
        <v>51</v>
      </c>
      <c r="D47" s="3"/>
      <c r="E47" s="14"/>
      <c r="F47" s="14"/>
      <c r="G47" s="14"/>
    </row>
  </sheetData>
  <sheetProtection/>
  <mergeCells count="15">
    <mergeCell ref="F41:G41"/>
    <mergeCell ref="B40:C40"/>
    <mergeCell ref="B41:C41"/>
    <mergeCell ref="A12:I12"/>
    <mergeCell ref="A38:I38"/>
    <mergeCell ref="F42:G42"/>
    <mergeCell ref="F40:G40"/>
    <mergeCell ref="A13:C13"/>
    <mergeCell ref="A34:C34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50" sqref="F50:G50"/>
    </sheetView>
  </sheetViews>
  <sheetFormatPr defaultColWidth="9.140625" defaultRowHeight="15" outlineLevelCol="1"/>
  <cols>
    <col min="1" max="1" width="4.7109375" style="1" customWidth="1"/>
    <col min="2" max="2" width="40.28125" style="1" customWidth="1"/>
    <col min="3" max="3" width="13.42187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124</v>
      </c>
    </row>
    <row r="8" spans="1:6" s="3" customFormat="1" ht="15">
      <c r="A8" s="3" t="s">
        <v>3</v>
      </c>
      <c r="F8" s="4" t="s">
        <v>125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2590.79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-7060.03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-36656.26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9.350000000000001</v>
      </c>
      <c r="D19" s="146">
        <v>160222.56</v>
      </c>
      <c r="E19" s="146">
        <v>157407.55</v>
      </c>
      <c r="F19" s="146">
        <f aca="true" t="shared" si="0" ref="F19:F25">D19</f>
        <v>160222.56</v>
      </c>
      <c r="G19" s="147">
        <f>E19-D19</f>
        <v>-2815.0100000000093</v>
      </c>
      <c r="H19" s="70">
        <f>C19</f>
        <v>9.350000000000001</v>
      </c>
      <c r="I19" s="16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55178.25060962566</v>
      </c>
      <c r="E20" s="67">
        <f>E19*I20</f>
        <v>54208.80331550801</v>
      </c>
      <c r="F20" s="67">
        <f t="shared" si="0"/>
        <v>55178.25060962566</v>
      </c>
      <c r="G20" s="68">
        <f aca="true" t="shared" si="1" ref="G20:G28">E20-D20</f>
        <v>-969.44729411765</v>
      </c>
      <c r="H20" s="70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26218.237090909086</v>
      </c>
      <c r="E21" s="67">
        <f>E19*I21</f>
        <v>25757.599090909083</v>
      </c>
      <c r="F21" s="67">
        <f t="shared" si="0"/>
        <v>26218.237090909086</v>
      </c>
      <c r="G21" s="68">
        <f t="shared" si="1"/>
        <v>-460.63800000000265</v>
      </c>
      <c r="H21" s="70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32387.23405347593</v>
      </c>
      <c r="E22" s="67">
        <f>E19*I22</f>
        <v>31818.210641711226</v>
      </c>
      <c r="F22" s="67">
        <f t="shared" si="0"/>
        <v>32387.23405347593</v>
      </c>
      <c r="G22" s="68">
        <f t="shared" si="1"/>
        <v>-569.0234117647051</v>
      </c>
      <c r="H22" s="70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46438.8382459893</v>
      </c>
      <c r="E23" s="67">
        <f>E19*I23</f>
        <v>45622.93695187165</v>
      </c>
      <c r="F23" s="67">
        <f t="shared" si="0"/>
        <v>46438.8382459893</v>
      </c>
      <c r="G23" s="68">
        <f t="shared" si="1"/>
        <v>-815.9012941176479</v>
      </c>
      <c r="H23" s="70">
        <f>C23</f>
        <v>2.71</v>
      </c>
      <c r="I23" s="15">
        <f>H23/H19</f>
        <v>0.28983957219251333</v>
      </c>
    </row>
    <row r="24" spans="1:9" ht="15">
      <c r="A24" s="129" t="s">
        <v>25</v>
      </c>
      <c r="B24" s="129" t="s">
        <v>26</v>
      </c>
      <c r="C24" s="152">
        <v>0</v>
      </c>
      <c r="D24" s="147">
        <v>0</v>
      </c>
      <c r="E24" s="147">
        <v>0</v>
      </c>
      <c r="F24" s="146">
        <f t="shared" si="0"/>
        <v>0</v>
      </c>
      <c r="G24" s="147">
        <f t="shared" si="1"/>
        <v>0</v>
      </c>
      <c r="H24" s="162"/>
      <c r="I24" s="162"/>
    </row>
    <row r="25" spans="1:9" ht="15">
      <c r="A25" s="129" t="s">
        <v>27</v>
      </c>
      <c r="B25" s="129" t="s">
        <v>28</v>
      </c>
      <c r="C25" s="152">
        <v>0</v>
      </c>
      <c r="D25" s="147">
        <v>0</v>
      </c>
      <c r="E25" s="147">
        <v>257.09</v>
      </c>
      <c r="F25" s="147">
        <f t="shared" si="0"/>
        <v>0</v>
      </c>
      <c r="G25" s="147">
        <f t="shared" si="1"/>
        <v>257.09</v>
      </c>
      <c r="H25" s="162"/>
      <c r="I25" s="162"/>
    </row>
    <row r="26" spans="1:9" ht="15">
      <c r="A26" s="129" t="s">
        <v>29</v>
      </c>
      <c r="B26" s="129" t="s">
        <v>105</v>
      </c>
      <c r="C26" s="152">
        <v>0</v>
      </c>
      <c r="D26" s="147">
        <v>0</v>
      </c>
      <c r="E26" s="147">
        <v>0</v>
      </c>
      <c r="F26" s="147">
        <v>0</v>
      </c>
      <c r="G26" s="147">
        <f t="shared" si="1"/>
        <v>0</v>
      </c>
      <c r="H26" s="162"/>
      <c r="I26" s="162"/>
    </row>
    <row r="27" spans="1:9" ht="15">
      <c r="A27" s="129" t="s">
        <v>31</v>
      </c>
      <c r="B27" s="129" t="s">
        <v>131</v>
      </c>
      <c r="C27" s="152">
        <v>3</v>
      </c>
      <c r="D27" s="147">
        <v>119038.24</v>
      </c>
      <c r="E27" s="147">
        <v>116079.1</v>
      </c>
      <c r="F27" s="153">
        <f>F43</f>
        <v>606566.301</v>
      </c>
      <c r="G27" s="147">
        <f t="shared" si="1"/>
        <v>-2959.1399999999994</v>
      </c>
      <c r="H27" s="162"/>
      <c r="I27" s="162"/>
    </row>
    <row r="28" spans="1:9" ht="15">
      <c r="A28" s="185">
        <v>6</v>
      </c>
      <c r="B28" s="191" t="s">
        <v>230</v>
      </c>
      <c r="C28" s="145">
        <v>0</v>
      </c>
      <c r="D28" s="147">
        <v>0</v>
      </c>
      <c r="E28" s="147">
        <v>0</v>
      </c>
      <c r="F28" s="153">
        <f>D28</f>
        <v>0</v>
      </c>
      <c r="G28" s="147">
        <f t="shared" si="1"/>
        <v>0</v>
      </c>
      <c r="H28" s="162"/>
      <c r="I28" s="162"/>
    </row>
    <row r="29" spans="1:9" ht="15">
      <c r="A29" s="185">
        <f>A28+1</f>
        <v>7</v>
      </c>
      <c r="B29" s="129" t="s">
        <v>36</v>
      </c>
      <c r="C29" s="215"/>
      <c r="D29" s="147">
        <f>SUM(D30:D33)</f>
        <v>794432.3600000001</v>
      </c>
      <c r="E29" s="147">
        <f>SUM(E30:E33)</f>
        <v>790481.1399999999</v>
      </c>
      <c r="F29" s="147">
        <f>SUM(F30:F33)</f>
        <v>794432.3600000001</v>
      </c>
      <c r="G29" s="147">
        <f>SUM(G30:G33)</f>
        <v>-3951.220000000043</v>
      </c>
      <c r="H29" s="162"/>
      <c r="I29" s="162"/>
    </row>
    <row r="30" spans="1:7" ht="15">
      <c r="A30" s="98" t="s">
        <v>37</v>
      </c>
      <c r="B30" s="9" t="s">
        <v>106</v>
      </c>
      <c r="C30" s="134" t="s">
        <v>315</v>
      </c>
      <c r="D30" s="68">
        <v>15219</v>
      </c>
      <c r="E30" s="68">
        <v>14951.92</v>
      </c>
      <c r="F30" s="68">
        <f>D30</f>
        <v>15219</v>
      </c>
      <c r="G30" s="68">
        <f>E30-D30</f>
        <v>-267.0799999999999</v>
      </c>
    </row>
    <row r="31" spans="1:7" ht="15">
      <c r="A31" s="98" t="s">
        <v>39</v>
      </c>
      <c r="B31" s="9" t="s">
        <v>168</v>
      </c>
      <c r="C31" s="134" t="s">
        <v>314</v>
      </c>
      <c r="D31" s="68">
        <v>98924.87</v>
      </c>
      <c r="E31" s="68">
        <v>98917</v>
      </c>
      <c r="F31" s="68">
        <f>D31</f>
        <v>98924.87</v>
      </c>
      <c r="G31" s="68">
        <f>E31-D31</f>
        <v>-7.869999999995343</v>
      </c>
    </row>
    <row r="32" spans="1:7" ht="15">
      <c r="A32" s="98" t="s">
        <v>42</v>
      </c>
      <c r="B32" s="9" t="s">
        <v>170</v>
      </c>
      <c r="C32" s="182" t="s">
        <v>346</v>
      </c>
      <c r="D32" s="68">
        <v>157355.53</v>
      </c>
      <c r="E32" s="68">
        <v>162266.11</v>
      </c>
      <c r="F32" s="68">
        <f>D32</f>
        <v>157355.53</v>
      </c>
      <c r="G32" s="68">
        <f>E32-D32</f>
        <v>4910.579999999987</v>
      </c>
    </row>
    <row r="33" spans="1:7" ht="15">
      <c r="A33" s="98" t="s">
        <v>41</v>
      </c>
      <c r="B33" s="9" t="s">
        <v>43</v>
      </c>
      <c r="C33" s="134" t="s">
        <v>316</v>
      </c>
      <c r="D33" s="68">
        <v>522932.96</v>
      </c>
      <c r="E33" s="68">
        <v>514346.11</v>
      </c>
      <c r="F33" s="68">
        <f>D33</f>
        <v>522932.96</v>
      </c>
      <c r="G33" s="68">
        <f>E33-D33</f>
        <v>-8586.850000000035</v>
      </c>
    </row>
    <row r="34" spans="1:10" s="20" customFormat="1" ht="5.2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12059.070000000298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G15+E26-F26</f>
        <v>-7060.03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-527143.461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s="15" customFormat="1" ht="25.5" customHeight="1">
      <c r="A40" s="316" t="s">
        <v>44</v>
      </c>
      <c r="B40" s="316"/>
      <c r="C40" s="316"/>
      <c r="D40" s="316"/>
      <c r="E40" s="316"/>
      <c r="F40" s="316"/>
      <c r="G40" s="316"/>
      <c r="H40" s="316"/>
      <c r="I40" s="316"/>
    </row>
    <row r="42" spans="1:9" ht="28.5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  <c r="H42" s="7"/>
      <c r="I42" s="7"/>
    </row>
    <row r="43" spans="1:9" s="7" customFormat="1" ht="15">
      <c r="A43" s="11" t="s">
        <v>47</v>
      </c>
      <c r="B43" s="287" t="s">
        <v>126</v>
      </c>
      <c r="C43" s="288"/>
      <c r="D43" s="157"/>
      <c r="E43" s="157"/>
      <c r="F43" s="295">
        <f>SUM(F44:L50)</f>
        <v>606566.301</v>
      </c>
      <c r="G43" s="291"/>
      <c r="H43" s="12"/>
      <c r="I43" s="12"/>
    </row>
    <row r="44" spans="1:9" s="12" customFormat="1" ht="13.5" customHeight="1">
      <c r="A44" s="9" t="s">
        <v>16</v>
      </c>
      <c r="B44" s="271" t="s">
        <v>519</v>
      </c>
      <c r="C44" s="273"/>
      <c r="D44" s="158"/>
      <c r="E44" s="158"/>
      <c r="F44" s="308">
        <v>242000</v>
      </c>
      <c r="G44" s="309"/>
      <c r="H44" s="1"/>
      <c r="I44" s="1"/>
    </row>
    <row r="45" spans="1:7" ht="13.5" customHeight="1">
      <c r="A45" s="9" t="s">
        <v>18</v>
      </c>
      <c r="B45" s="271" t="s">
        <v>237</v>
      </c>
      <c r="C45" s="273"/>
      <c r="D45" s="158" t="s">
        <v>238</v>
      </c>
      <c r="E45" s="158">
        <v>5</v>
      </c>
      <c r="F45" s="294">
        <v>5000</v>
      </c>
      <c r="G45" s="294"/>
    </row>
    <row r="46" spans="1:7" ht="13.5" customHeight="1">
      <c r="A46" s="9" t="s">
        <v>20</v>
      </c>
      <c r="B46" s="271" t="s">
        <v>237</v>
      </c>
      <c r="C46" s="273"/>
      <c r="D46" s="158" t="s">
        <v>238</v>
      </c>
      <c r="E46" s="158">
        <v>4</v>
      </c>
      <c r="F46" s="308">
        <v>4000</v>
      </c>
      <c r="G46" s="309"/>
    </row>
    <row r="47" spans="1:7" ht="13.5" customHeight="1">
      <c r="A47" s="9" t="s">
        <v>22</v>
      </c>
      <c r="B47" s="271" t="s">
        <v>237</v>
      </c>
      <c r="C47" s="273"/>
      <c r="D47" s="158" t="s">
        <v>238</v>
      </c>
      <c r="E47" s="158">
        <v>24</v>
      </c>
      <c r="F47" s="308">
        <v>24000</v>
      </c>
      <c r="G47" s="309"/>
    </row>
    <row r="48" spans="1:7" ht="13.5" customHeight="1">
      <c r="A48" s="9" t="s">
        <v>24</v>
      </c>
      <c r="B48" s="271" t="s">
        <v>534</v>
      </c>
      <c r="C48" s="273"/>
      <c r="D48" s="158" t="s">
        <v>412</v>
      </c>
      <c r="E48" s="158">
        <v>4.16</v>
      </c>
      <c r="F48" s="308">
        <v>320405.51</v>
      </c>
      <c r="G48" s="309"/>
    </row>
    <row r="49" spans="1:7" ht="13.5" customHeight="1">
      <c r="A49" s="9" t="s">
        <v>116</v>
      </c>
      <c r="B49" s="271" t="s">
        <v>718</v>
      </c>
      <c r="C49" s="273"/>
      <c r="D49" s="158"/>
      <c r="E49" s="158"/>
      <c r="F49" s="308">
        <v>10000</v>
      </c>
      <c r="G49" s="309"/>
    </row>
    <row r="50" spans="1:7" ht="13.5" customHeight="1">
      <c r="A50" s="9" t="s">
        <v>117</v>
      </c>
      <c r="B50" s="131" t="s">
        <v>286</v>
      </c>
      <c r="C50" s="132"/>
      <c r="D50" s="158"/>
      <c r="E50" s="158"/>
      <c r="F50" s="294">
        <f>E27*1%</f>
        <v>1160.7910000000002</v>
      </c>
      <c r="G50" s="294"/>
    </row>
    <row r="51" spans="8:9" s="3" customFormat="1" ht="6" customHeight="1">
      <c r="H51" s="1"/>
      <c r="I51" s="1"/>
    </row>
    <row r="52" spans="1:9" s="3" customFormat="1" ht="15">
      <c r="A52" s="3" t="s">
        <v>55</v>
      </c>
      <c r="C52" s="3" t="s">
        <v>49</v>
      </c>
      <c r="F52" s="3" t="s">
        <v>102</v>
      </c>
      <c r="H52" s="1"/>
      <c r="I52" s="1"/>
    </row>
    <row r="53" spans="6:9" s="3" customFormat="1" ht="12.75" customHeight="1">
      <c r="F53" s="4" t="s">
        <v>303</v>
      </c>
      <c r="H53" s="1"/>
      <c r="I53" s="1"/>
    </row>
    <row r="54" spans="1:9" s="3" customFormat="1" ht="15">
      <c r="A54" s="3" t="s">
        <v>50</v>
      </c>
      <c r="H54" s="1"/>
      <c r="I54" s="1"/>
    </row>
    <row r="55" spans="3:9" s="3" customFormat="1" ht="15">
      <c r="C55" s="14" t="s">
        <v>51</v>
      </c>
      <c r="E55" s="14"/>
      <c r="F55" s="14"/>
      <c r="G55" s="14"/>
      <c r="H55" s="1"/>
      <c r="I55" s="1"/>
    </row>
    <row r="56" s="3" customFormat="1" ht="15"/>
    <row r="57" s="3" customFormat="1" ht="15"/>
  </sheetData>
  <sheetProtection/>
  <mergeCells count="27">
    <mergeCell ref="B47:C47"/>
    <mergeCell ref="A11:I11"/>
    <mergeCell ref="B49:C49"/>
    <mergeCell ref="F49:G49"/>
    <mergeCell ref="A3:K3"/>
    <mergeCell ref="A1:I1"/>
    <mergeCell ref="A2:I2"/>
    <mergeCell ref="A5:I5"/>
    <mergeCell ref="A10:I10"/>
    <mergeCell ref="B45:C45"/>
    <mergeCell ref="B44:C44"/>
    <mergeCell ref="F50:G50"/>
    <mergeCell ref="F46:G46"/>
    <mergeCell ref="A13:C13"/>
    <mergeCell ref="F44:G44"/>
    <mergeCell ref="F47:G47"/>
    <mergeCell ref="B48:C48"/>
    <mergeCell ref="F45:G45"/>
    <mergeCell ref="F48:G48"/>
    <mergeCell ref="B46:C46"/>
    <mergeCell ref="A35:C35"/>
    <mergeCell ref="A40:I40"/>
    <mergeCell ref="B42:C42"/>
    <mergeCell ref="F42:G42"/>
    <mergeCell ref="A12:I12"/>
    <mergeCell ref="F43:G43"/>
    <mergeCell ref="B43:C4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3" sqref="D13"/>
    </sheetView>
  </sheetViews>
  <sheetFormatPr defaultColWidth="9.140625" defaultRowHeight="15" outlineLevelCol="1"/>
  <cols>
    <col min="1" max="1" width="4.7109375" style="1" customWidth="1"/>
    <col min="2" max="2" width="47.8515625" style="1" customWidth="1"/>
    <col min="3" max="3" width="13.00390625" style="1" customWidth="1"/>
    <col min="4" max="5" width="12.7109375" style="1" customWidth="1"/>
    <col min="6" max="6" width="15.281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141</v>
      </c>
    </row>
    <row r="8" spans="1:6" s="3" customFormat="1" ht="15">
      <c r="A8" s="3" t="s">
        <v>3</v>
      </c>
      <c r="F8" s="4" t="s">
        <v>142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29852.67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13787.77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199087.65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15" customHeight="1">
      <c r="A19" s="163" t="s">
        <v>14</v>
      </c>
      <c r="B19" s="129" t="s">
        <v>15</v>
      </c>
      <c r="C19" s="145">
        <f>C20+C21+C22+C23</f>
        <v>9.350000000000001</v>
      </c>
      <c r="D19" s="146">
        <v>427506.84</v>
      </c>
      <c r="E19" s="146">
        <v>426311.57</v>
      </c>
      <c r="F19" s="146">
        <f aca="true" t="shared" si="0" ref="F19:F25">D19</f>
        <v>427506.84</v>
      </c>
      <c r="G19" s="147">
        <f>E19-D19</f>
        <v>-1195.2700000000186</v>
      </c>
      <c r="H19" s="70">
        <f>C19</f>
        <v>9.350000000000001</v>
      </c>
      <c r="I19" s="165"/>
    </row>
    <row r="20" spans="1:9" s="3" customFormat="1" ht="15" customHeight="1">
      <c r="A20" s="8" t="s">
        <v>16</v>
      </c>
      <c r="B20" s="9" t="s">
        <v>17</v>
      </c>
      <c r="C20" s="139">
        <v>3.22</v>
      </c>
      <c r="D20" s="67">
        <f>D19*I20</f>
        <v>147226.95452406417</v>
      </c>
      <c r="E20" s="67">
        <f>E19*I20</f>
        <v>146815.32143315507</v>
      </c>
      <c r="F20" s="67">
        <f t="shared" si="0"/>
        <v>147226.95452406417</v>
      </c>
      <c r="G20" s="68">
        <f aca="true" t="shared" si="1" ref="G20:G28">E20-D20</f>
        <v>-411.6330909091048</v>
      </c>
      <c r="H20" s="70">
        <f>C20</f>
        <v>3.22</v>
      </c>
      <c r="I20" s="15">
        <f>H20/H19</f>
        <v>0.3443850267379679</v>
      </c>
    </row>
    <row r="21" spans="1:9" s="3" customFormat="1" ht="15" customHeight="1">
      <c r="A21" s="8" t="s">
        <v>18</v>
      </c>
      <c r="B21" s="9" t="s">
        <v>19</v>
      </c>
      <c r="C21" s="139">
        <v>1.53</v>
      </c>
      <c r="D21" s="67">
        <f>D19*I21</f>
        <v>69955.66472727271</v>
      </c>
      <c r="E21" s="67">
        <f>E19*I21</f>
        <v>69760.07509090909</v>
      </c>
      <c r="F21" s="67">
        <f t="shared" si="0"/>
        <v>69955.66472727271</v>
      </c>
      <c r="G21" s="68">
        <f t="shared" si="1"/>
        <v>-195.5896363636275</v>
      </c>
      <c r="H21" s="70">
        <f>C21</f>
        <v>1.53</v>
      </c>
      <c r="I21" s="15">
        <f>H21/H19</f>
        <v>0.1636363636363636</v>
      </c>
    </row>
    <row r="22" spans="1:9" s="3" customFormat="1" ht="15" customHeight="1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86415.82113368984</v>
      </c>
      <c r="E22" s="67">
        <f>E19*I22</f>
        <v>86174.2104064171</v>
      </c>
      <c r="F22" s="67">
        <f t="shared" si="0"/>
        <v>86415.82113368984</v>
      </c>
      <c r="G22" s="68">
        <f t="shared" si="1"/>
        <v>-241.6107272727386</v>
      </c>
      <c r="H22" s="70">
        <f>C22</f>
        <v>1.8900000000000001</v>
      </c>
      <c r="I22" s="15">
        <f>H22/H19</f>
        <v>0.20213903743315506</v>
      </c>
    </row>
    <row r="23" spans="1:9" s="3" customFormat="1" ht="15" customHeight="1">
      <c r="A23" s="8" t="s">
        <v>22</v>
      </c>
      <c r="B23" s="9" t="s">
        <v>23</v>
      </c>
      <c r="C23" s="139">
        <v>2.71</v>
      </c>
      <c r="D23" s="67">
        <f>D19*I23</f>
        <v>123908.39961497326</v>
      </c>
      <c r="E23" s="67">
        <f>E19*I23</f>
        <v>123561.96306951871</v>
      </c>
      <c r="F23" s="67">
        <f t="shared" si="0"/>
        <v>123908.39961497326</v>
      </c>
      <c r="G23" s="68">
        <f t="shared" si="1"/>
        <v>-346.43654545454774</v>
      </c>
      <c r="H23" s="70">
        <f>C23</f>
        <v>2.71</v>
      </c>
      <c r="I23" s="15">
        <f>H23/H19</f>
        <v>0.28983957219251333</v>
      </c>
    </row>
    <row r="24" spans="1:9" ht="15" customHeight="1">
      <c r="A24" s="129" t="s">
        <v>25</v>
      </c>
      <c r="B24" s="129" t="s">
        <v>26</v>
      </c>
      <c r="C24" s="152">
        <v>3.58</v>
      </c>
      <c r="D24" s="147">
        <v>163501.55</v>
      </c>
      <c r="E24" s="147">
        <v>163240.98</v>
      </c>
      <c r="F24" s="146">
        <f t="shared" si="0"/>
        <v>163501.55</v>
      </c>
      <c r="G24" s="147">
        <f t="shared" si="1"/>
        <v>-260.5699999999779</v>
      </c>
      <c r="H24" s="162"/>
      <c r="I24" s="162"/>
    </row>
    <row r="25" spans="1:9" ht="15" customHeight="1">
      <c r="A25" s="129" t="s">
        <v>27</v>
      </c>
      <c r="B25" s="129" t="s">
        <v>28</v>
      </c>
      <c r="C25" s="152">
        <v>0</v>
      </c>
      <c r="D25" s="147">
        <v>0</v>
      </c>
      <c r="E25" s="147">
        <v>2899.17</v>
      </c>
      <c r="F25" s="147">
        <f t="shared" si="0"/>
        <v>0</v>
      </c>
      <c r="G25" s="147">
        <f t="shared" si="1"/>
        <v>2899.17</v>
      </c>
      <c r="H25" s="162"/>
      <c r="I25" s="162"/>
    </row>
    <row r="26" spans="1:9" ht="15" customHeight="1">
      <c r="A26" s="129" t="s">
        <v>29</v>
      </c>
      <c r="B26" s="129" t="s">
        <v>249</v>
      </c>
      <c r="C26" s="152">
        <v>1.04</v>
      </c>
      <c r="D26" s="147">
        <v>47551.56</v>
      </c>
      <c r="E26" s="147">
        <v>47394.88</v>
      </c>
      <c r="F26" s="147">
        <f>D26</f>
        <v>47551.56</v>
      </c>
      <c r="G26" s="147">
        <f t="shared" si="1"/>
        <v>-156.6800000000003</v>
      </c>
      <c r="H26" s="162"/>
      <c r="I26" s="162"/>
    </row>
    <row r="27" spans="1:9" ht="15" customHeight="1">
      <c r="A27" s="129" t="s">
        <v>31</v>
      </c>
      <c r="B27" s="129" t="s">
        <v>131</v>
      </c>
      <c r="C27" s="152">
        <v>1.92</v>
      </c>
      <c r="D27" s="147">
        <v>87786.84</v>
      </c>
      <c r="E27" s="147">
        <v>87630.76</v>
      </c>
      <c r="F27" s="153">
        <f>F43</f>
        <v>166146.0176</v>
      </c>
      <c r="G27" s="147">
        <f t="shared" si="1"/>
        <v>-156.08000000000175</v>
      </c>
      <c r="H27" s="162"/>
      <c r="I27" s="162"/>
    </row>
    <row r="28" spans="1:9" ht="15" customHeight="1">
      <c r="A28" s="185">
        <v>6</v>
      </c>
      <c r="B28" s="191" t="s">
        <v>230</v>
      </c>
      <c r="C28" s="145">
        <v>0</v>
      </c>
      <c r="D28" s="147">
        <v>0</v>
      </c>
      <c r="E28" s="147">
        <v>0</v>
      </c>
      <c r="F28" s="153">
        <f>D28</f>
        <v>0</v>
      </c>
      <c r="G28" s="147">
        <f t="shared" si="1"/>
        <v>0</v>
      </c>
      <c r="H28" s="162"/>
      <c r="I28" s="162"/>
    </row>
    <row r="29" spans="1:9" ht="15" customHeight="1">
      <c r="A29" s="185">
        <f>A28+1</f>
        <v>7</v>
      </c>
      <c r="B29" s="129" t="s">
        <v>36</v>
      </c>
      <c r="C29" s="215"/>
      <c r="D29" s="147">
        <f>SUM(D30:D33)</f>
        <v>2262571</v>
      </c>
      <c r="E29" s="147">
        <f>SUM(E30:E33)</f>
        <v>2262326.51</v>
      </c>
      <c r="F29" s="147">
        <f>SUM(F30:F33)</f>
        <v>2262571</v>
      </c>
      <c r="G29" s="147">
        <f>SUM(G30:G33)</f>
        <v>-244.49000000003434</v>
      </c>
      <c r="H29" s="162"/>
      <c r="I29" s="162"/>
    </row>
    <row r="30" spans="1:7" ht="15" customHeight="1">
      <c r="A30" s="98" t="s">
        <v>37</v>
      </c>
      <c r="B30" s="9" t="s">
        <v>106</v>
      </c>
      <c r="C30" s="134" t="s">
        <v>315</v>
      </c>
      <c r="D30" s="68">
        <v>74884.08</v>
      </c>
      <c r="E30" s="68">
        <v>74715.62</v>
      </c>
      <c r="F30" s="68">
        <f>D30</f>
        <v>74884.08</v>
      </c>
      <c r="G30" s="68">
        <f>E30-D30</f>
        <v>-168.4600000000064</v>
      </c>
    </row>
    <row r="31" spans="1:7" ht="15" customHeight="1">
      <c r="A31" s="98" t="s">
        <v>39</v>
      </c>
      <c r="B31" s="9" t="s">
        <v>168</v>
      </c>
      <c r="C31" s="134" t="s">
        <v>314</v>
      </c>
      <c r="D31" s="68">
        <v>292140.36</v>
      </c>
      <c r="E31" s="68">
        <v>293678.18</v>
      </c>
      <c r="F31" s="68">
        <f>D31</f>
        <v>292140.36</v>
      </c>
      <c r="G31" s="68">
        <f>E31-D31</f>
        <v>1537.820000000007</v>
      </c>
    </row>
    <row r="32" spans="1:7" ht="15" customHeight="1">
      <c r="A32" s="98" t="s">
        <v>42</v>
      </c>
      <c r="B32" s="9" t="s">
        <v>170</v>
      </c>
      <c r="C32" s="182" t="s">
        <v>346</v>
      </c>
      <c r="D32" s="68">
        <v>500253.44</v>
      </c>
      <c r="E32" s="68">
        <v>503923.37</v>
      </c>
      <c r="F32" s="68">
        <f>D32</f>
        <v>500253.44</v>
      </c>
      <c r="G32" s="68">
        <f>E32-D32</f>
        <v>3669.929999999993</v>
      </c>
    </row>
    <row r="33" spans="1:7" ht="15" customHeight="1">
      <c r="A33" s="98" t="s">
        <v>41</v>
      </c>
      <c r="B33" s="9" t="s">
        <v>43</v>
      </c>
      <c r="C33" s="134" t="s">
        <v>316</v>
      </c>
      <c r="D33" s="68">
        <v>1395293.12</v>
      </c>
      <c r="E33" s="68">
        <v>1390009.34</v>
      </c>
      <c r="F33" s="68">
        <f>D33</f>
        <v>1395293.12</v>
      </c>
      <c r="G33" s="68">
        <f>E33-D33</f>
        <v>-5283.780000000028</v>
      </c>
    </row>
    <row r="34" spans="1:10" s="20" customFormat="1" ht="5.2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28966.590000000782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6.5" customHeight="1" thickBot="1">
      <c r="A37" s="87" t="s">
        <v>300</v>
      </c>
      <c r="B37" s="43"/>
      <c r="C37" s="43"/>
      <c r="D37" s="44"/>
      <c r="E37" s="45"/>
      <c r="F37" s="45"/>
      <c r="G37" s="38">
        <f>G15+0.01</f>
        <v>13787.78</v>
      </c>
      <c r="H37" s="40"/>
      <c r="I37" s="40"/>
    </row>
    <row r="38" spans="1:9" s="15" customFormat="1" ht="16.5" customHeight="1" thickBot="1">
      <c r="A38" s="87" t="s">
        <v>301</v>
      </c>
      <c r="B38" s="43"/>
      <c r="C38" s="43"/>
      <c r="D38" s="44"/>
      <c r="E38" s="45"/>
      <c r="F38" s="45"/>
      <c r="G38" s="38">
        <f>G16+E27-F27</f>
        <v>120572.39239999998</v>
      </c>
      <c r="H38" s="40"/>
      <c r="I38" s="40"/>
    </row>
    <row r="39" spans="1:9" s="15" customFormat="1" ht="16.5" customHeight="1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6.25" customHeight="1">
      <c r="A40" s="316" t="s">
        <v>44</v>
      </c>
      <c r="B40" s="316"/>
      <c r="C40" s="316"/>
      <c r="D40" s="316"/>
      <c r="E40" s="316"/>
      <c r="F40" s="316"/>
      <c r="G40" s="316"/>
      <c r="H40" s="316"/>
      <c r="I40" s="316"/>
    </row>
    <row r="41" ht="3.75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</row>
    <row r="43" spans="1:7" s="12" customFormat="1" ht="13.5" customHeight="1">
      <c r="A43" s="11" t="s">
        <v>47</v>
      </c>
      <c r="B43" s="287" t="s">
        <v>126</v>
      </c>
      <c r="C43" s="288"/>
      <c r="D43" s="157"/>
      <c r="E43" s="157"/>
      <c r="F43" s="295">
        <f>SUM(F44:L49)</f>
        <v>166146.0176</v>
      </c>
      <c r="G43" s="291"/>
    </row>
    <row r="44" spans="1:7" ht="13.5" customHeight="1">
      <c r="A44" s="9" t="s">
        <v>16</v>
      </c>
      <c r="B44" s="271" t="s">
        <v>430</v>
      </c>
      <c r="C44" s="273"/>
      <c r="D44" s="158"/>
      <c r="E44" s="158"/>
      <c r="F44" s="308">
        <v>3956</v>
      </c>
      <c r="G44" s="309"/>
    </row>
    <row r="45" spans="1:7" ht="13.5" customHeight="1">
      <c r="A45" s="9" t="s">
        <v>18</v>
      </c>
      <c r="B45" s="271" t="s">
        <v>485</v>
      </c>
      <c r="C45" s="273"/>
      <c r="D45" s="158" t="s">
        <v>412</v>
      </c>
      <c r="E45" s="158">
        <v>0.066</v>
      </c>
      <c r="F45" s="308">
        <v>5855.61</v>
      </c>
      <c r="G45" s="309"/>
    </row>
    <row r="46" spans="1:7" ht="13.5" customHeight="1">
      <c r="A46" s="9" t="s">
        <v>20</v>
      </c>
      <c r="B46" s="271" t="s">
        <v>486</v>
      </c>
      <c r="C46" s="273"/>
      <c r="D46" s="158" t="s">
        <v>412</v>
      </c>
      <c r="E46" s="158">
        <v>0.15</v>
      </c>
      <c r="F46" s="308">
        <v>6715.89</v>
      </c>
      <c r="G46" s="309"/>
    </row>
    <row r="47" spans="1:7" ht="13.5" customHeight="1">
      <c r="A47" s="9" t="s">
        <v>22</v>
      </c>
      <c r="B47" s="271" t="s">
        <v>487</v>
      </c>
      <c r="C47" s="273"/>
      <c r="D47" s="158" t="s">
        <v>234</v>
      </c>
      <c r="E47" s="158">
        <v>4</v>
      </c>
      <c r="F47" s="308">
        <v>560</v>
      </c>
      <c r="G47" s="309"/>
    </row>
    <row r="48" spans="1:7" ht="13.5" customHeight="1">
      <c r="A48" s="9" t="s">
        <v>24</v>
      </c>
      <c r="B48" s="271" t="s">
        <v>488</v>
      </c>
      <c r="C48" s="273"/>
      <c r="D48" s="158" t="s">
        <v>412</v>
      </c>
      <c r="E48" s="158">
        <v>2</v>
      </c>
      <c r="F48" s="308">
        <v>148182.21</v>
      </c>
      <c r="G48" s="309"/>
    </row>
    <row r="49" spans="1:7" ht="13.5" customHeight="1">
      <c r="A49" s="9" t="s">
        <v>116</v>
      </c>
      <c r="B49" s="131" t="s">
        <v>286</v>
      </c>
      <c r="C49" s="132"/>
      <c r="D49" s="158"/>
      <c r="E49" s="158"/>
      <c r="F49" s="294">
        <f>E27*1%</f>
        <v>876.3076</v>
      </c>
      <c r="G49" s="294"/>
    </row>
    <row r="50" spans="1:7" ht="13.5" customHeight="1">
      <c r="A50" s="3"/>
      <c r="B50" s="3"/>
      <c r="C50" s="3"/>
      <c r="D50" s="3"/>
      <c r="E50" s="3"/>
      <c r="F50" s="3"/>
      <c r="G50" s="3"/>
    </row>
    <row r="51" spans="1:9" s="3" customFormat="1" ht="15">
      <c r="A51" s="3" t="s">
        <v>55</v>
      </c>
      <c r="C51" s="3" t="s">
        <v>49</v>
      </c>
      <c r="F51" s="3" t="s">
        <v>102</v>
      </c>
      <c r="H51" s="1"/>
      <c r="I51" s="1"/>
    </row>
    <row r="52" spans="6:9" s="3" customFormat="1" ht="15">
      <c r="F52" s="4" t="s">
        <v>303</v>
      </c>
      <c r="H52" s="1"/>
      <c r="I52" s="1"/>
    </row>
    <row r="53" spans="1:9" s="3" customFormat="1" ht="13.5" customHeight="1">
      <c r="A53" s="3" t="s">
        <v>50</v>
      </c>
      <c r="H53" s="1"/>
      <c r="I53" s="1"/>
    </row>
    <row r="54" spans="3:7" s="3" customFormat="1" ht="15">
      <c r="C54" s="14" t="s">
        <v>51</v>
      </c>
      <c r="E54" s="14"/>
      <c r="F54" s="14"/>
      <c r="G54" s="14"/>
    </row>
    <row r="55" s="3" customFormat="1" ht="15"/>
  </sheetData>
  <sheetProtection/>
  <mergeCells count="25">
    <mergeCell ref="B48:C48"/>
    <mergeCell ref="F48:G48"/>
    <mergeCell ref="B45:C45"/>
    <mergeCell ref="F45:G45"/>
    <mergeCell ref="B46:C46"/>
    <mergeCell ref="F46:G46"/>
    <mergeCell ref="B47:C47"/>
    <mergeCell ref="F47:G47"/>
    <mergeCell ref="B44:C44"/>
    <mergeCell ref="A12:I12"/>
    <mergeCell ref="A13:C13"/>
    <mergeCell ref="A35:C35"/>
    <mergeCell ref="B42:C42"/>
    <mergeCell ref="F49:G49"/>
    <mergeCell ref="F43:G43"/>
    <mergeCell ref="A40:I40"/>
    <mergeCell ref="F42:G42"/>
    <mergeCell ref="F44:G44"/>
    <mergeCell ref="B43:C43"/>
    <mergeCell ref="A1:I1"/>
    <mergeCell ref="A2:I2"/>
    <mergeCell ref="A3:K3"/>
    <mergeCell ref="A5:I5"/>
    <mergeCell ref="A11:I11"/>
    <mergeCell ref="A10:I1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F61" sqref="F61:G61"/>
    </sheetView>
  </sheetViews>
  <sheetFormatPr defaultColWidth="9.140625" defaultRowHeight="15" outlineLevelCol="1"/>
  <cols>
    <col min="1" max="1" width="4.7109375" style="1" customWidth="1"/>
    <col min="2" max="2" width="40.421875" style="1" customWidth="1"/>
    <col min="3" max="3" width="13.281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147</v>
      </c>
    </row>
    <row r="8" spans="1:6" s="3" customFormat="1" ht="15">
      <c r="A8" s="3" t="s">
        <v>3</v>
      </c>
      <c r="F8" s="4" t="s">
        <v>146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380323.75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409060.5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3925.18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9.350000000000001</v>
      </c>
      <c r="D19" s="146">
        <v>438242.17</v>
      </c>
      <c r="E19" s="146">
        <v>474037.44</v>
      </c>
      <c r="F19" s="146">
        <f aca="true" t="shared" si="0" ref="F19:F25">D19</f>
        <v>438242.17</v>
      </c>
      <c r="G19" s="147">
        <f>E19-D19</f>
        <v>35795.27000000002</v>
      </c>
      <c r="H19" s="70">
        <f>C19</f>
        <v>9.350000000000001</v>
      </c>
      <c r="I19" s="16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150924.04143315507</v>
      </c>
      <c r="E20" s="67">
        <f>E19*I20</f>
        <v>163251.39644919784</v>
      </c>
      <c r="F20" s="67">
        <f t="shared" si="0"/>
        <v>150924.04143315507</v>
      </c>
      <c r="G20" s="68">
        <f aca="true" t="shared" si="1" ref="G20:G28">E20-D20</f>
        <v>12327.35501604277</v>
      </c>
      <c r="H20" s="70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71712.35509090907</v>
      </c>
      <c r="E21" s="67">
        <f>E19*I21</f>
        <v>77569.76290909089</v>
      </c>
      <c r="F21" s="67">
        <f t="shared" si="0"/>
        <v>71712.35509090907</v>
      </c>
      <c r="G21" s="68">
        <f t="shared" si="1"/>
        <v>5857.407818181819</v>
      </c>
      <c r="H21" s="70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88585.8504064171</v>
      </c>
      <c r="E22" s="67">
        <f>E19*I22</f>
        <v>95821.471828877</v>
      </c>
      <c r="F22" s="67">
        <f t="shared" si="0"/>
        <v>88585.8504064171</v>
      </c>
      <c r="G22" s="68">
        <f t="shared" si="1"/>
        <v>7235.621422459895</v>
      </c>
      <c r="H22" s="70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127019.9230695187</v>
      </c>
      <c r="E23" s="67">
        <f>E19*I23</f>
        <v>137394.8088128342</v>
      </c>
      <c r="F23" s="67">
        <f t="shared" si="0"/>
        <v>127019.9230695187</v>
      </c>
      <c r="G23" s="68">
        <f t="shared" si="1"/>
        <v>10374.885743315506</v>
      </c>
      <c r="H23" s="70">
        <f>C23</f>
        <v>2.71</v>
      </c>
      <c r="I23" s="15">
        <f>H23/H19</f>
        <v>0.28983957219251333</v>
      </c>
    </row>
    <row r="24" spans="1:9" ht="15">
      <c r="A24" s="129" t="s">
        <v>25</v>
      </c>
      <c r="B24" s="129" t="s">
        <v>26</v>
      </c>
      <c r="C24" s="152">
        <v>0</v>
      </c>
      <c r="D24" s="147">
        <v>0</v>
      </c>
      <c r="E24" s="147">
        <v>0</v>
      </c>
      <c r="F24" s="146">
        <f t="shared" si="0"/>
        <v>0</v>
      </c>
      <c r="G24" s="147">
        <f t="shared" si="1"/>
        <v>0</v>
      </c>
      <c r="H24" s="162"/>
      <c r="I24" s="162"/>
    </row>
    <row r="25" spans="1:9" ht="15">
      <c r="A25" s="129" t="s">
        <v>27</v>
      </c>
      <c r="B25" s="129" t="s">
        <v>28</v>
      </c>
      <c r="C25" s="152">
        <v>0</v>
      </c>
      <c r="D25" s="147">
        <v>0</v>
      </c>
      <c r="E25" s="147">
        <v>28959.14</v>
      </c>
      <c r="F25" s="147">
        <f t="shared" si="0"/>
        <v>0</v>
      </c>
      <c r="G25" s="147">
        <f t="shared" si="1"/>
        <v>28959.14</v>
      </c>
      <c r="H25" s="162"/>
      <c r="I25" s="162"/>
    </row>
    <row r="26" spans="1:9" ht="15">
      <c r="A26" s="129" t="s">
        <v>29</v>
      </c>
      <c r="B26" s="129" t="s">
        <v>105</v>
      </c>
      <c r="C26" s="152">
        <v>0</v>
      </c>
      <c r="D26" s="147">
        <v>0</v>
      </c>
      <c r="E26" s="147">
        <v>1094.57</v>
      </c>
      <c r="F26" s="147">
        <f>F61</f>
        <v>408521.39</v>
      </c>
      <c r="G26" s="147">
        <f t="shared" si="1"/>
        <v>1094.57</v>
      </c>
      <c r="H26" s="162"/>
      <c r="I26" s="162"/>
    </row>
    <row r="27" spans="1:9" ht="15">
      <c r="A27" s="129" t="s">
        <v>31</v>
      </c>
      <c r="B27" s="129" t="s">
        <v>131</v>
      </c>
      <c r="C27" s="152">
        <v>1.92</v>
      </c>
      <c r="D27" s="147">
        <v>89991.74</v>
      </c>
      <c r="E27" s="147">
        <v>98351.92</v>
      </c>
      <c r="F27" s="153">
        <f>F43</f>
        <v>462021.3892</v>
      </c>
      <c r="G27" s="147">
        <f t="shared" si="1"/>
        <v>8360.179999999993</v>
      </c>
      <c r="H27" s="162"/>
      <c r="I27" s="162"/>
    </row>
    <row r="28" spans="1:9" ht="15">
      <c r="A28" s="185">
        <v>6</v>
      </c>
      <c r="B28" s="191" t="s">
        <v>230</v>
      </c>
      <c r="C28" s="215">
        <v>1832.48</v>
      </c>
      <c r="D28" s="147">
        <v>362.41</v>
      </c>
      <c r="E28" s="147">
        <v>371.53</v>
      </c>
      <c r="F28" s="153">
        <f>D28</f>
        <v>362.41</v>
      </c>
      <c r="G28" s="147">
        <f t="shared" si="1"/>
        <v>9.119999999999948</v>
      </c>
      <c r="H28" s="162"/>
      <c r="I28" s="162"/>
    </row>
    <row r="29" spans="1:9" ht="15">
      <c r="A29" s="185">
        <f>A28+1</f>
        <v>7</v>
      </c>
      <c r="B29" s="129" t="s">
        <v>36</v>
      </c>
      <c r="C29" s="215"/>
      <c r="D29" s="147">
        <f>SUM(D30:D33)</f>
        <v>2211313.5599999996</v>
      </c>
      <c r="E29" s="147">
        <f>SUM(E30:E33)</f>
        <v>2333846.73</v>
      </c>
      <c r="F29" s="147">
        <f>SUM(F30:F33)</f>
        <v>2211313.5599999996</v>
      </c>
      <c r="G29" s="147">
        <f>SUM(G30:G33)</f>
        <v>122533.17000000016</v>
      </c>
      <c r="H29" s="162"/>
      <c r="I29" s="162"/>
    </row>
    <row r="30" spans="1:7" ht="15">
      <c r="A30" s="98" t="s">
        <v>37</v>
      </c>
      <c r="B30" s="9" t="s">
        <v>106</v>
      </c>
      <c r="C30" s="134" t="s">
        <v>315</v>
      </c>
      <c r="D30" s="68">
        <v>44457.25</v>
      </c>
      <c r="E30" s="68">
        <v>46112.63</v>
      </c>
      <c r="F30" s="68">
        <f>D30</f>
        <v>44457.25</v>
      </c>
      <c r="G30" s="68">
        <f>E30-D30</f>
        <v>1655.3799999999974</v>
      </c>
    </row>
    <row r="31" spans="1:7" ht="15">
      <c r="A31" s="98" t="s">
        <v>39</v>
      </c>
      <c r="B31" s="9" t="s">
        <v>168</v>
      </c>
      <c r="C31" s="134" t="s">
        <v>314</v>
      </c>
      <c r="D31" s="68">
        <v>275145.22</v>
      </c>
      <c r="E31" s="68">
        <v>280706.57</v>
      </c>
      <c r="F31" s="68">
        <f>D31</f>
        <v>275145.22</v>
      </c>
      <c r="G31" s="68">
        <f>E31-D31</f>
        <v>5561.350000000035</v>
      </c>
    </row>
    <row r="32" spans="1:7" ht="15">
      <c r="A32" s="98" t="s">
        <v>42</v>
      </c>
      <c r="B32" s="9" t="s">
        <v>170</v>
      </c>
      <c r="C32" s="182" t="s">
        <v>346</v>
      </c>
      <c r="D32" s="68">
        <v>461368.18</v>
      </c>
      <c r="E32" s="68">
        <v>480644.51</v>
      </c>
      <c r="F32" s="68">
        <f>D32</f>
        <v>461368.18</v>
      </c>
      <c r="G32" s="68">
        <f>E32-D32</f>
        <v>19276.330000000016</v>
      </c>
    </row>
    <row r="33" spans="1:7" ht="15">
      <c r="A33" s="98" t="s">
        <v>41</v>
      </c>
      <c r="B33" s="9" t="s">
        <v>43</v>
      </c>
      <c r="C33" s="134" t="s">
        <v>316</v>
      </c>
      <c r="D33" s="68">
        <v>1430342.91</v>
      </c>
      <c r="E33" s="68">
        <v>1526383.02</v>
      </c>
      <c r="F33" s="68">
        <f>D33</f>
        <v>1430342.91</v>
      </c>
      <c r="G33" s="68">
        <f>E33-D33</f>
        <v>96040.1100000001</v>
      </c>
    </row>
    <row r="34" spans="1:10" s="20" customFormat="1" ht="5.2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183572.2999999998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G15+E26-F26</f>
        <v>1633.679999999993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-359744.2892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6.25" customHeight="1">
      <c r="A40" s="316" t="s">
        <v>44</v>
      </c>
      <c r="B40" s="316"/>
      <c r="C40" s="316"/>
      <c r="D40" s="316"/>
      <c r="E40" s="316"/>
      <c r="F40" s="316"/>
      <c r="G40" s="316"/>
      <c r="H40" s="316"/>
      <c r="I40" s="316"/>
    </row>
    <row r="41" ht="3.75" customHeight="1"/>
    <row r="42" spans="1:7" s="7" customFormat="1" ht="28.5" customHeight="1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</row>
    <row r="43" spans="1:7" s="12" customFormat="1" ht="13.5" customHeight="1">
      <c r="A43" s="11" t="s">
        <v>47</v>
      </c>
      <c r="B43" s="287" t="s">
        <v>126</v>
      </c>
      <c r="C43" s="288"/>
      <c r="D43" s="157"/>
      <c r="E43" s="157"/>
      <c r="F43" s="295">
        <f>SUM(F44:L60)</f>
        <v>462021.3892</v>
      </c>
      <c r="G43" s="291"/>
    </row>
    <row r="44" spans="1:7" ht="13.5" customHeight="1">
      <c r="A44" s="9" t="s">
        <v>16</v>
      </c>
      <c r="B44" s="271" t="s">
        <v>497</v>
      </c>
      <c r="C44" s="273"/>
      <c r="D44" s="158" t="s">
        <v>239</v>
      </c>
      <c r="E44" s="158">
        <v>200</v>
      </c>
      <c r="F44" s="308">
        <v>2451</v>
      </c>
      <c r="G44" s="309"/>
    </row>
    <row r="45" spans="1:7" ht="13.5" customHeight="1">
      <c r="A45" s="9" t="s">
        <v>18</v>
      </c>
      <c r="B45" s="271" t="s">
        <v>498</v>
      </c>
      <c r="C45" s="273"/>
      <c r="D45" s="158" t="s">
        <v>239</v>
      </c>
      <c r="E45" s="158">
        <v>200</v>
      </c>
      <c r="F45" s="294">
        <v>3710.7</v>
      </c>
      <c r="G45" s="294"/>
    </row>
    <row r="46" spans="1:7" ht="13.5" customHeight="1">
      <c r="A46" s="9" t="s">
        <v>20</v>
      </c>
      <c r="B46" s="271" t="s">
        <v>494</v>
      </c>
      <c r="C46" s="273"/>
      <c r="D46" s="158"/>
      <c r="E46" s="158"/>
      <c r="F46" s="308">
        <v>55000</v>
      </c>
      <c r="G46" s="309"/>
    </row>
    <row r="47" spans="1:7" ht="13.5" customHeight="1">
      <c r="A47" s="9" t="s">
        <v>22</v>
      </c>
      <c r="B47" s="271" t="s">
        <v>497</v>
      </c>
      <c r="C47" s="273"/>
      <c r="D47" s="158" t="s">
        <v>239</v>
      </c>
      <c r="E47" s="158">
        <v>200</v>
      </c>
      <c r="F47" s="308">
        <v>1972.8</v>
      </c>
      <c r="G47" s="309"/>
    </row>
    <row r="48" spans="1:7" ht="13.5" customHeight="1">
      <c r="A48" s="9" t="s">
        <v>24</v>
      </c>
      <c r="B48" s="271" t="s">
        <v>436</v>
      </c>
      <c r="C48" s="273"/>
      <c r="D48" s="158" t="s">
        <v>410</v>
      </c>
      <c r="E48" s="158">
        <v>0.12</v>
      </c>
      <c r="F48" s="308">
        <v>5057.05</v>
      </c>
      <c r="G48" s="309"/>
    </row>
    <row r="49" spans="1:7" ht="13.5" customHeight="1">
      <c r="A49" s="9" t="s">
        <v>116</v>
      </c>
      <c r="B49" s="271" t="s">
        <v>495</v>
      </c>
      <c r="C49" s="273"/>
      <c r="D49" s="158" t="s">
        <v>410</v>
      </c>
      <c r="E49" s="158">
        <v>0.04</v>
      </c>
      <c r="F49" s="308">
        <v>1983.85</v>
      </c>
      <c r="G49" s="309"/>
    </row>
    <row r="50" spans="1:7" ht="13.5" customHeight="1">
      <c r="A50" s="9" t="s">
        <v>117</v>
      </c>
      <c r="B50" s="271" t="s">
        <v>496</v>
      </c>
      <c r="C50" s="273"/>
      <c r="D50" s="158" t="s">
        <v>239</v>
      </c>
      <c r="E50" s="158"/>
      <c r="F50" s="308">
        <v>6800</v>
      </c>
      <c r="G50" s="309"/>
    </row>
    <row r="51" spans="1:7" ht="13.5" customHeight="1">
      <c r="A51" s="9" t="s">
        <v>132</v>
      </c>
      <c r="B51" s="271" t="s">
        <v>499</v>
      </c>
      <c r="C51" s="273"/>
      <c r="D51" s="158" t="s">
        <v>412</v>
      </c>
      <c r="E51" s="158">
        <v>1.5</v>
      </c>
      <c r="F51" s="308">
        <v>209634.59</v>
      </c>
      <c r="G51" s="309"/>
    </row>
    <row r="52" spans="1:7" ht="13.5" customHeight="1">
      <c r="A52" s="9" t="s">
        <v>133</v>
      </c>
      <c r="B52" s="271" t="s">
        <v>507</v>
      </c>
      <c r="C52" s="273"/>
      <c r="D52" s="158" t="s">
        <v>412</v>
      </c>
      <c r="E52" s="158">
        <v>0.11</v>
      </c>
      <c r="F52" s="308">
        <v>7216.24</v>
      </c>
      <c r="G52" s="309"/>
    </row>
    <row r="53" spans="1:7" ht="13.5" customHeight="1">
      <c r="A53" s="9" t="s">
        <v>134</v>
      </c>
      <c r="B53" s="271" t="s">
        <v>503</v>
      </c>
      <c r="C53" s="273"/>
      <c r="D53" s="158" t="s">
        <v>234</v>
      </c>
      <c r="E53" s="158">
        <v>1</v>
      </c>
      <c r="F53" s="308">
        <v>23470</v>
      </c>
      <c r="G53" s="309"/>
    </row>
    <row r="54" spans="1:7" ht="13.5" customHeight="1">
      <c r="A54" s="9" t="s">
        <v>171</v>
      </c>
      <c r="B54" s="271" t="s">
        <v>506</v>
      </c>
      <c r="C54" s="273"/>
      <c r="D54" s="158" t="s">
        <v>234</v>
      </c>
      <c r="E54" s="158">
        <v>1</v>
      </c>
      <c r="F54" s="308">
        <v>194.4</v>
      </c>
      <c r="G54" s="309"/>
    </row>
    <row r="55" spans="1:7" ht="13.5" customHeight="1">
      <c r="A55" s="9" t="s">
        <v>192</v>
      </c>
      <c r="B55" s="271" t="s">
        <v>504</v>
      </c>
      <c r="C55" s="273"/>
      <c r="D55" s="158"/>
      <c r="E55" s="158">
        <v>0.72</v>
      </c>
      <c r="F55" s="308">
        <v>3542.4</v>
      </c>
      <c r="G55" s="309"/>
    </row>
    <row r="56" spans="1:7" ht="13.5" customHeight="1">
      <c r="A56" s="9" t="s">
        <v>193</v>
      </c>
      <c r="B56" s="271" t="s">
        <v>505</v>
      </c>
      <c r="C56" s="273"/>
      <c r="D56" s="158" t="s">
        <v>234</v>
      </c>
      <c r="E56" s="158"/>
      <c r="F56" s="308">
        <v>3715</v>
      </c>
      <c r="G56" s="309"/>
    </row>
    <row r="57" spans="1:7" ht="13.5" customHeight="1">
      <c r="A57" s="9" t="s">
        <v>194</v>
      </c>
      <c r="B57" s="271" t="s">
        <v>502</v>
      </c>
      <c r="C57" s="273"/>
      <c r="D57" s="158" t="s">
        <v>234</v>
      </c>
      <c r="E57" s="158"/>
      <c r="F57" s="308">
        <v>500</v>
      </c>
      <c r="G57" s="309"/>
    </row>
    <row r="58" spans="1:7" ht="13.5" customHeight="1">
      <c r="A58" s="9" t="s">
        <v>508</v>
      </c>
      <c r="B58" s="271" t="s">
        <v>500</v>
      </c>
      <c r="C58" s="273"/>
      <c r="D58" s="158" t="s">
        <v>412</v>
      </c>
      <c r="E58" s="158">
        <v>1.2</v>
      </c>
      <c r="F58" s="308">
        <v>68761.87</v>
      </c>
      <c r="G58" s="309"/>
    </row>
    <row r="59" spans="1:7" ht="13.5" customHeight="1">
      <c r="A59" s="9" t="s">
        <v>509</v>
      </c>
      <c r="B59" s="271" t="s">
        <v>501</v>
      </c>
      <c r="C59" s="273"/>
      <c r="D59" s="158" t="s">
        <v>412</v>
      </c>
      <c r="E59" s="158">
        <v>1.2</v>
      </c>
      <c r="F59" s="308">
        <v>67027.97</v>
      </c>
      <c r="G59" s="309"/>
    </row>
    <row r="60" spans="1:9" ht="13.5" customHeight="1">
      <c r="A60" s="9" t="s">
        <v>510</v>
      </c>
      <c r="B60" s="131" t="s">
        <v>286</v>
      </c>
      <c r="C60" s="132"/>
      <c r="D60" s="158"/>
      <c r="E60" s="158"/>
      <c r="F60" s="294">
        <f>E27*1%</f>
        <v>983.5192</v>
      </c>
      <c r="G60" s="294"/>
      <c r="H60" s="3"/>
      <c r="I60" s="3"/>
    </row>
    <row r="61" spans="1:7" ht="13.5" customHeight="1">
      <c r="A61" s="128">
        <v>2</v>
      </c>
      <c r="B61" s="287" t="s">
        <v>711</v>
      </c>
      <c r="C61" s="288"/>
      <c r="D61" s="157"/>
      <c r="E61" s="157"/>
      <c r="F61" s="295">
        <f>SUM(F62:G69)</f>
        <v>408521.39</v>
      </c>
      <c r="G61" s="291"/>
    </row>
    <row r="62" spans="1:7" ht="13.5" customHeight="1">
      <c r="A62" s="9" t="s">
        <v>104</v>
      </c>
      <c r="B62" s="271" t="s">
        <v>534</v>
      </c>
      <c r="C62" s="273"/>
      <c r="D62" s="158"/>
      <c r="E62" s="158"/>
      <c r="F62" s="308">
        <v>408521.39</v>
      </c>
      <c r="G62" s="309"/>
    </row>
    <row r="63" spans="1:7" ht="13.5" customHeight="1">
      <c r="A63" s="3"/>
      <c r="B63" s="3"/>
      <c r="C63" s="3"/>
      <c r="D63" s="3"/>
      <c r="E63" s="3"/>
      <c r="F63" s="3"/>
      <c r="G63" s="3"/>
    </row>
    <row r="64" spans="1:7" ht="13.5" customHeight="1">
      <c r="A64" s="3" t="s">
        <v>55</v>
      </c>
      <c r="B64" s="3"/>
      <c r="C64" s="3" t="s">
        <v>49</v>
      </c>
      <c r="D64" s="3"/>
      <c r="E64" s="3"/>
      <c r="F64" s="3" t="s">
        <v>102</v>
      </c>
      <c r="G64" s="3"/>
    </row>
    <row r="65" spans="1:7" ht="13.5" customHeight="1">
      <c r="A65" s="3"/>
      <c r="B65" s="3"/>
      <c r="C65" s="3"/>
      <c r="D65" s="3"/>
      <c r="E65" s="3"/>
      <c r="F65" s="4" t="s">
        <v>303</v>
      </c>
      <c r="G65" s="3"/>
    </row>
    <row r="66" spans="1:7" ht="13.5" customHeight="1">
      <c r="A66" s="3" t="s">
        <v>50</v>
      </c>
      <c r="B66" s="3"/>
      <c r="C66" s="3"/>
      <c r="D66" s="3"/>
      <c r="E66" s="3"/>
      <c r="F66" s="3"/>
      <c r="G66" s="3"/>
    </row>
    <row r="67" spans="1:7" ht="13.5" customHeight="1">
      <c r="A67" s="3"/>
      <c r="B67" s="3"/>
      <c r="C67" s="14" t="s">
        <v>51</v>
      </c>
      <c r="D67" s="3"/>
      <c r="E67" s="14"/>
      <c r="F67" s="14"/>
      <c r="G67" s="14"/>
    </row>
    <row r="68" s="3" customFormat="1" ht="15"/>
    <row r="69" s="3" customFormat="1" ht="15"/>
    <row r="70" s="3" customFormat="1" ht="15"/>
  </sheetData>
  <sheetProtection/>
  <mergeCells count="51">
    <mergeCell ref="B61:C61"/>
    <mergeCell ref="F61:G61"/>
    <mergeCell ref="B62:C62"/>
    <mergeCell ref="F62:G62"/>
    <mergeCell ref="B57:C57"/>
    <mergeCell ref="F57:G57"/>
    <mergeCell ref="B58:C58"/>
    <mergeCell ref="F58:G58"/>
    <mergeCell ref="B59:C59"/>
    <mergeCell ref="F59:G59"/>
    <mergeCell ref="B54:C54"/>
    <mergeCell ref="F54:G54"/>
    <mergeCell ref="B55:C55"/>
    <mergeCell ref="F55:G55"/>
    <mergeCell ref="B56:C56"/>
    <mergeCell ref="F56:G56"/>
    <mergeCell ref="B51:C51"/>
    <mergeCell ref="F51:G51"/>
    <mergeCell ref="B52:C52"/>
    <mergeCell ref="F52:G52"/>
    <mergeCell ref="B53:C53"/>
    <mergeCell ref="F53:G53"/>
    <mergeCell ref="B42:C42"/>
    <mergeCell ref="B43:C43"/>
    <mergeCell ref="F47:G47"/>
    <mergeCell ref="F48:G48"/>
    <mergeCell ref="F49:G49"/>
    <mergeCell ref="B49:C49"/>
    <mergeCell ref="F60:G60"/>
    <mergeCell ref="A12:I12"/>
    <mergeCell ref="A13:C13"/>
    <mergeCell ref="A35:C35"/>
    <mergeCell ref="A40:I40"/>
    <mergeCell ref="F46:G46"/>
    <mergeCell ref="F42:G42"/>
    <mergeCell ref="F44:G44"/>
    <mergeCell ref="F45:G45"/>
    <mergeCell ref="F43:G43"/>
    <mergeCell ref="A11:I11"/>
    <mergeCell ref="A1:I1"/>
    <mergeCell ref="A2:I2"/>
    <mergeCell ref="A3:K3"/>
    <mergeCell ref="A5:I5"/>
    <mergeCell ref="A10:I10"/>
    <mergeCell ref="B50:C50"/>
    <mergeCell ref="F50:G50"/>
    <mergeCell ref="B44:C44"/>
    <mergeCell ref="B45:C45"/>
    <mergeCell ref="B46:C46"/>
    <mergeCell ref="B47:C47"/>
    <mergeCell ref="B48:C4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F43" sqref="F43:G43"/>
    </sheetView>
  </sheetViews>
  <sheetFormatPr defaultColWidth="9.140625" defaultRowHeight="15" outlineLevelCol="1"/>
  <cols>
    <col min="1" max="1" width="4.7109375" style="1" customWidth="1"/>
    <col min="2" max="2" width="40.7109375" style="1" customWidth="1"/>
    <col min="3" max="3" width="13.421875" style="1" customWidth="1"/>
    <col min="4" max="5" width="12.7109375" style="1" customWidth="1"/>
    <col min="6" max="6" width="14.57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143</v>
      </c>
    </row>
    <row r="8" spans="1:6" s="3" customFormat="1" ht="15">
      <c r="A8" s="3" t="s">
        <v>3</v>
      </c>
      <c r="F8" s="4" t="s">
        <v>156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337795.22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0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-213.54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328820.88</v>
      </c>
      <c r="E19" s="146">
        <f>0.08+326869.67</f>
        <v>326869.75</v>
      </c>
      <c r="F19" s="146">
        <f aca="true" t="shared" si="0" ref="F19:F26">D19</f>
        <v>328820.88</v>
      </c>
      <c r="G19" s="147">
        <f aca="true" t="shared" si="1" ref="G19:G28">E19-D19</f>
        <v>-1951.1300000000047</v>
      </c>
      <c r="H19" s="143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118566.99144456888</v>
      </c>
      <c r="E20" s="67">
        <f>E19*I20</f>
        <v>117863.44848824189</v>
      </c>
      <c r="F20" s="67">
        <f t="shared" si="0"/>
        <v>118566.99144456888</v>
      </c>
      <c r="G20" s="68">
        <f t="shared" si="1"/>
        <v>-703.5429563269863</v>
      </c>
      <c r="H20" s="143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58178.83431131019</v>
      </c>
      <c r="E21" s="67">
        <f>E19*I21</f>
        <v>57833.617581187005</v>
      </c>
      <c r="F21" s="67">
        <f t="shared" si="0"/>
        <v>58178.83431131019</v>
      </c>
      <c r="G21" s="68">
        <f t="shared" si="1"/>
        <v>-345.21673012318206</v>
      </c>
      <c r="H21" s="143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52287.30678611422</v>
      </c>
      <c r="E22" s="67">
        <f>E19*I22</f>
        <v>51977.048712206044</v>
      </c>
      <c r="F22" s="67">
        <f t="shared" si="0"/>
        <v>52287.30678611422</v>
      </c>
      <c r="G22" s="68">
        <f t="shared" si="1"/>
        <v>-310.258073908175</v>
      </c>
      <c r="H22" s="143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99787.74745800672</v>
      </c>
      <c r="E23" s="67">
        <f>E19*I23</f>
        <v>99195.63521836506</v>
      </c>
      <c r="F23" s="67">
        <f t="shared" si="0"/>
        <v>99787.74745800672</v>
      </c>
      <c r="G23" s="68">
        <f t="shared" si="1"/>
        <v>-592.1122396416613</v>
      </c>
      <c r="H23" s="143">
        <f>C23</f>
        <v>2.71</v>
      </c>
      <c r="I23" s="15">
        <f>H23/H19</f>
        <v>0.303471444568869</v>
      </c>
    </row>
    <row r="24" spans="1:7" ht="15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7147.95</v>
      </c>
      <c r="F25" s="147">
        <f t="shared" si="0"/>
        <v>0</v>
      </c>
      <c r="G25" s="147">
        <f t="shared" si="1"/>
        <v>7147.95</v>
      </c>
    </row>
    <row r="26" spans="1:7" ht="1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64070.52</v>
      </c>
      <c r="E27" s="147">
        <v>63809.2</v>
      </c>
      <c r="F27" s="153">
        <f>F42</f>
        <v>95776.092</v>
      </c>
      <c r="G27" s="147">
        <f t="shared" si="1"/>
        <v>-261.3199999999997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1616217.3900000001</v>
      </c>
      <c r="E29" s="147">
        <f>SUM(E30:E33)</f>
        <v>1627788.77</v>
      </c>
      <c r="F29" s="147">
        <f>SUM(F30:F33)</f>
        <v>1616217.3900000001</v>
      </c>
      <c r="G29" s="147">
        <f>SUM(G30:G33)</f>
        <v>11571.380000000107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14524.27</v>
      </c>
      <c r="E30" s="68">
        <v>14504.91</v>
      </c>
      <c r="F30" s="68">
        <f>D30</f>
        <v>14524.27</v>
      </c>
      <c r="G30" s="68">
        <f>E30-D30</f>
        <v>-19.360000000000582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478010.1</v>
      </c>
      <c r="E31" s="68">
        <v>491368.24</v>
      </c>
      <c r="F31" s="68">
        <f>D31</f>
        <v>478010.1</v>
      </c>
      <c r="G31" s="68">
        <f>E31-D31</f>
        <v>13358.140000000014</v>
      </c>
    </row>
    <row r="32" spans="1:7" s="97" customFormat="1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7" ht="15.75" thickBot="1">
      <c r="A33" s="9" t="s">
        <v>41</v>
      </c>
      <c r="B33" s="9" t="s">
        <v>43</v>
      </c>
      <c r="C33" s="134" t="s">
        <v>316</v>
      </c>
      <c r="D33" s="68">
        <v>1123683.02</v>
      </c>
      <c r="E33" s="68">
        <v>1121915.62</v>
      </c>
      <c r="F33" s="68">
        <f>D33</f>
        <v>1123683.02</v>
      </c>
      <c r="G33" s="68">
        <f>E33-D33</f>
        <v>-1767.3999999999069</v>
      </c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321288.3400000003</v>
      </c>
      <c r="E34" s="39"/>
      <c r="F34" s="39"/>
      <c r="G34" s="39"/>
      <c r="H34" s="22"/>
      <c r="I34" s="22"/>
      <c r="J34" s="22"/>
    </row>
    <row r="35" spans="1:9" s="15" customFormat="1" ht="8.2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0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-32180.432000000008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ht="28.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3.75" customHeight="1"/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3.5" customHeight="1">
      <c r="A42" s="11" t="s">
        <v>47</v>
      </c>
      <c r="B42" s="287" t="s">
        <v>126</v>
      </c>
      <c r="C42" s="288"/>
      <c r="D42" s="157"/>
      <c r="E42" s="157"/>
      <c r="F42" s="295">
        <f>SUM(F43:L49)</f>
        <v>95776.092</v>
      </c>
      <c r="G42" s="291"/>
    </row>
    <row r="43" spans="1:7" ht="13.5" customHeight="1">
      <c r="A43" s="9" t="s">
        <v>16</v>
      </c>
      <c r="B43" s="271" t="s">
        <v>237</v>
      </c>
      <c r="C43" s="273"/>
      <c r="D43" s="158"/>
      <c r="E43" s="158"/>
      <c r="F43" s="308">
        <v>8000</v>
      </c>
      <c r="G43" s="309"/>
    </row>
    <row r="44" spans="1:7" ht="13.5" customHeight="1">
      <c r="A44" s="9" t="s">
        <v>18</v>
      </c>
      <c r="B44" s="271" t="s">
        <v>430</v>
      </c>
      <c r="C44" s="273"/>
      <c r="D44" s="158"/>
      <c r="E44" s="158"/>
      <c r="F44" s="294">
        <v>3638</v>
      </c>
      <c r="G44" s="294"/>
    </row>
    <row r="45" spans="1:7" ht="13.5" customHeight="1">
      <c r="A45" s="9" t="s">
        <v>20</v>
      </c>
      <c r="B45" s="271" t="s">
        <v>435</v>
      </c>
      <c r="C45" s="273"/>
      <c r="D45" s="158" t="s">
        <v>238</v>
      </c>
      <c r="E45" s="158">
        <v>16</v>
      </c>
      <c r="F45" s="308">
        <v>16000</v>
      </c>
      <c r="G45" s="309"/>
    </row>
    <row r="46" spans="1:7" ht="13.5" customHeight="1">
      <c r="A46" s="9" t="s">
        <v>22</v>
      </c>
      <c r="B46" s="271" t="s">
        <v>435</v>
      </c>
      <c r="C46" s="273"/>
      <c r="D46" s="158" t="s">
        <v>238</v>
      </c>
      <c r="E46" s="158">
        <v>24</v>
      </c>
      <c r="F46" s="308">
        <v>22500</v>
      </c>
      <c r="G46" s="309"/>
    </row>
    <row r="47" spans="1:9" s="3" customFormat="1" ht="15" customHeight="1">
      <c r="A47" s="9" t="s">
        <v>24</v>
      </c>
      <c r="B47" s="271" t="s">
        <v>489</v>
      </c>
      <c r="C47" s="273"/>
      <c r="D47" s="158"/>
      <c r="E47" s="158"/>
      <c r="F47" s="308">
        <v>35000</v>
      </c>
      <c r="G47" s="309"/>
      <c r="H47" s="1"/>
      <c r="I47" s="1"/>
    </row>
    <row r="48" spans="1:9" s="3" customFormat="1" ht="15" customHeight="1">
      <c r="A48" s="9" t="s">
        <v>116</v>
      </c>
      <c r="B48" s="271" t="s">
        <v>718</v>
      </c>
      <c r="C48" s="273"/>
      <c r="D48" s="158"/>
      <c r="E48" s="158"/>
      <c r="F48" s="308">
        <v>10000</v>
      </c>
      <c r="G48" s="309"/>
      <c r="H48" s="1"/>
      <c r="I48" s="1"/>
    </row>
    <row r="49" spans="1:7" s="3" customFormat="1" ht="13.5" customHeight="1">
      <c r="A49" s="9" t="s">
        <v>117</v>
      </c>
      <c r="B49" s="131" t="s">
        <v>286</v>
      </c>
      <c r="C49" s="132"/>
      <c r="D49" s="158"/>
      <c r="E49" s="158"/>
      <c r="F49" s="294">
        <f>E27*1%</f>
        <v>638.092</v>
      </c>
      <c r="G49" s="294"/>
    </row>
    <row r="50" spans="8:9" s="3" customFormat="1" ht="15">
      <c r="H50" s="1"/>
      <c r="I50" s="1"/>
    </row>
    <row r="51" spans="1:9" s="3" customFormat="1" ht="15">
      <c r="A51" s="3" t="s">
        <v>55</v>
      </c>
      <c r="C51" s="3" t="s">
        <v>49</v>
      </c>
      <c r="F51" s="3" t="s">
        <v>102</v>
      </c>
      <c r="H51" s="1"/>
      <c r="I51" s="1"/>
    </row>
    <row r="52" spans="6:9" s="3" customFormat="1" ht="15">
      <c r="F52" s="4" t="s">
        <v>303</v>
      </c>
      <c r="H52" s="1"/>
      <c r="I52" s="1"/>
    </row>
    <row r="53" spans="1:9" s="3" customFormat="1" ht="15">
      <c r="A53" s="3" t="s">
        <v>50</v>
      </c>
      <c r="H53" s="1"/>
      <c r="I53" s="1"/>
    </row>
    <row r="54" spans="1:7" ht="15">
      <c r="A54" s="3"/>
      <c r="B54" s="3"/>
      <c r="C54" s="14" t="s">
        <v>51</v>
      </c>
      <c r="D54" s="3"/>
      <c r="E54" s="14"/>
      <c r="F54" s="14"/>
      <c r="G54" s="14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</sheetData>
  <sheetProtection/>
  <mergeCells count="27">
    <mergeCell ref="A1:I1"/>
    <mergeCell ref="A2:I2"/>
    <mergeCell ref="A3:K3"/>
    <mergeCell ref="A5:I5"/>
    <mergeCell ref="B44:C44"/>
    <mergeCell ref="F44:G44"/>
    <mergeCell ref="A10:I10"/>
    <mergeCell ref="A12:I12"/>
    <mergeCell ref="A13:C13"/>
    <mergeCell ref="A11:I11"/>
    <mergeCell ref="A34:C34"/>
    <mergeCell ref="B41:C41"/>
    <mergeCell ref="B42:C42"/>
    <mergeCell ref="B43:C43"/>
    <mergeCell ref="B45:C45"/>
    <mergeCell ref="F43:G43"/>
    <mergeCell ref="F42:G42"/>
    <mergeCell ref="A39:I39"/>
    <mergeCell ref="F41:G41"/>
    <mergeCell ref="F49:G49"/>
    <mergeCell ref="B46:C46"/>
    <mergeCell ref="B47:C47"/>
    <mergeCell ref="F47:G47"/>
    <mergeCell ref="F46:G46"/>
    <mergeCell ref="F45:G45"/>
    <mergeCell ref="B48:C48"/>
    <mergeCell ref="F48:G4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4.7109375" style="1" customWidth="1"/>
    <col min="2" max="2" width="44.28125" style="1" customWidth="1"/>
    <col min="3" max="3" width="13.710937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3.42187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3" customHeight="1"/>
    <row r="7" spans="1:6" s="3" customFormat="1" ht="16.5" customHeight="1">
      <c r="A7" s="3" t="s">
        <v>2</v>
      </c>
      <c r="F7" s="4" t="s">
        <v>145</v>
      </c>
    </row>
    <row r="8" spans="1:6" s="3" customFormat="1" ht="15">
      <c r="A8" s="3" t="s">
        <v>3</v>
      </c>
      <c r="F8" s="4" t="s">
        <v>144</v>
      </c>
    </row>
    <row r="9" s="3" customFormat="1" ht="6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235799.36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0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-8570.89</v>
      </c>
      <c r="H16" s="40"/>
      <c r="I16" s="40"/>
    </row>
    <row r="17" s="3" customFormat="1" ht="6.7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145">
        <f>C20+C21+C22+C23</f>
        <v>8.93</v>
      </c>
      <c r="D19" s="146">
        <v>331730.16</v>
      </c>
      <c r="E19" s="146">
        <f>44.76+0.05+316912.31</f>
        <v>316957.12</v>
      </c>
      <c r="F19" s="146">
        <f aca="true" t="shared" si="0" ref="F19:F26">D19</f>
        <v>331730.16</v>
      </c>
      <c r="G19" s="147">
        <f aca="true" t="shared" si="1" ref="G19:G28">E19-D19</f>
        <v>-14773.039999999979</v>
      </c>
      <c r="H19" s="143">
        <f>C19</f>
        <v>8.93</v>
      </c>
      <c r="I19" s="1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119616.0263381859</v>
      </c>
      <c r="E20" s="67">
        <f>E19*I20</f>
        <v>114289.12949608064</v>
      </c>
      <c r="F20" s="67">
        <f t="shared" si="0"/>
        <v>119616.0263381859</v>
      </c>
      <c r="G20" s="68">
        <f t="shared" si="1"/>
        <v>-5326.896842105256</v>
      </c>
      <c r="H20" s="143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58693.578141097416</v>
      </c>
      <c r="E21" s="67">
        <f>E19*I21</f>
        <v>56079.759193729</v>
      </c>
      <c r="F21" s="67">
        <f t="shared" si="0"/>
        <v>58693.578141097416</v>
      </c>
      <c r="G21" s="68">
        <f t="shared" si="1"/>
        <v>-2613.818947368418</v>
      </c>
      <c r="H21" s="143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52749.924658454634</v>
      </c>
      <c r="E22" s="67">
        <f>E19*I22</f>
        <v>50400.79623740201</v>
      </c>
      <c r="F22" s="67">
        <f t="shared" si="0"/>
        <v>52749.924658454634</v>
      </c>
      <c r="G22" s="68">
        <f t="shared" si="1"/>
        <v>-2349.128421052621</v>
      </c>
      <c r="H22" s="143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100670.63086226203</v>
      </c>
      <c r="E23" s="67">
        <f>E19*I23</f>
        <v>96187.43507278836</v>
      </c>
      <c r="F23" s="67">
        <f t="shared" si="0"/>
        <v>100670.63086226203</v>
      </c>
      <c r="G23" s="68">
        <f t="shared" si="1"/>
        <v>-4483.19578947367</v>
      </c>
      <c r="H23" s="143">
        <f>C23</f>
        <v>2.71</v>
      </c>
      <c r="I23" s="15">
        <f>H23/H19</f>
        <v>0.303471444568869</v>
      </c>
    </row>
    <row r="24" spans="1:7" ht="15" customHeight="1">
      <c r="A24" s="129" t="s">
        <v>25</v>
      </c>
      <c r="B24" s="151" t="s">
        <v>167</v>
      </c>
      <c r="C24" s="198">
        <v>0</v>
      </c>
      <c r="D24" s="147">
        <v>0</v>
      </c>
      <c r="E24" s="147">
        <v>0</v>
      </c>
      <c r="F24" s="147">
        <f t="shared" si="0"/>
        <v>0</v>
      </c>
      <c r="G24" s="147">
        <f t="shared" si="1"/>
        <v>0</v>
      </c>
    </row>
    <row r="25" spans="1:7" ht="15">
      <c r="A25" s="129" t="s">
        <v>27</v>
      </c>
      <c r="B25" s="151" t="s">
        <v>28</v>
      </c>
      <c r="C25" s="175">
        <v>0</v>
      </c>
      <c r="D25" s="147">
        <v>0</v>
      </c>
      <c r="E25" s="147">
        <v>4432.95</v>
      </c>
      <c r="F25" s="147">
        <f t="shared" si="0"/>
        <v>0</v>
      </c>
      <c r="G25" s="147">
        <f t="shared" si="1"/>
        <v>4432.95</v>
      </c>
    </row>
    <row r="26" spans="1:7" ht="15.75" customHeight="1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</row>
    <row r="27" spans="1:7" ht="15">
      <c r="A27" s="129" t="s">
        <v>31</v>
      </c>
      <c r="B27" s="151" t="s">
        <v>131</v>
      </c>
      <c r="C27" s="175">
        <v>1.74</v>
      </c>
      <c r="D27" s="147">
        <v>64637.52</v>
      </c>
      <c r="E27" s="147">
        <v>61765.74</v>
      </c>
      <c r="F27" s="153">
        <f>F42</f>
        <v>12158.527399999999</v>
      </c>
      <c r="G27" s="147">
        <f t="shared" si="1"/>
        <v>-2871.779999999999</v>
      </c>
    </row>
    <row r="28" spans="1:7" ht="15">
      <c r="A28" s="129" t="s">
        <v>33</v>
      </c>
      <c r="B28" s="36" t="s">
        <v>34</v>
      </c>
      <c r="C28" s="198">
        <v>0</v>
      </c>
      <c r="D28" s="147">
        <v>0</v>
      </c>
      <c r="E28" s="147">
        <v>0</v>
      </c>
      <c r="F28" s="153">
        <v>0</v>
      </c>
      <c r="G28" s="147">
        <f t="shared" si="1"/>
        <v>0</v>
      </c>
    </row>
    <row r="29" spans="1:7" ht="15">
      <c r="A29" s="129" t="s">
        <v>35</v>
      </c>
      <c r="B29" s="36" t="s">
        <v>36</v>
      </c>
      <c r="C29" s="175"/>
      <c r="D29" s="147">
        <f>SUM(D30:D33)</f>
        <v>1240658.42</v>
      </c>
      <c r="E29" s="147">
        <f>SUM(E30:E33)</f>
        <v>1172830.1</v>
      </c>
      <c r="F29" s="147">
        <f>SUM(F30:F33)</f>
        <v>1240658.42</v>
      </c>
      <c r="G29" s="147">
        <f>SUM(G30:G33)</f>
        <v>-67828.32000000007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38097.06</v>
      </c>
      <c r="E30" s="68">
        <v>36381.43</v>
      </c>
      <c r="F30" s="68">
        <f>D30</f>
        <v>38097.06</v>
      </c>
      <c r="G30" s="68">
        <f>E30-D30</f>
        <v>-1715.6299999999974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423830.55</v>
      </c>
      <c r="E31" s="68">
        <v>389364.67</v>
      </c>
      <c r="F31" s="68">
        <f>D31</f>
        <v>423830.55</v>
      </c>
      <c r="G31" s="68">
        <f>E31-D31</f>
        <v>-34465.880000000005</v>
      </c>
    </row>
    <row r="32" spans="1:9" s="111" customFormat="1" ht="15">
      <c r="A32" s="9" t="s">
        <v>42</v>
      </c>
      <c r="B32" s="9" t="s">
        <v>40</v>
      </c>
      <c r="C32" s="182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97"/>
      <c r="I32" s="97"/>
    </row>
    <row r="33" spans="1:9" s="97" customFormat="1" ht="15" customHeight="1" thickBot="1">
      <c r="A33" s="9" t="s">
        <v>41</v>
      </c>
      <c r="B33" s="9" t="s">
        <v>43</v>
      </c>
      <c r="C33" s="182" t="s">
        <v>408</v>
      </c>
      <c r="D33" s="68">
        <v>778730.81</v>
      </c>
      <c r="E33" s="68">
        <v>747084</v>
      </c>
      <c r="F33" s="68">
        <f>D33</f>
        <v>778730.81</v>
      </c>
      <c r="G33" s="68">
        <f>E33-D33</f>
        <v>-31646.810000000056</v>
      </c>
      <c r="H33" s="1"/>
      <c r="I33" s="1"/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316839.5499999998</v>
      </c>
      <c r="E34" s="39"/>
      <c r="F34" s="39"/>
      <c r="G34" s="39"/>
      <c r="H34" s="22"/>
      <c r="I34" s="22"/>
      <c r="J34" s="22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G15+E28-F28</f>
        <v>0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41036.3226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29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26.25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SUM(F43:L48)</f>
        <v>12158.527399999999</v>
      </c>
      <c r="G42" s="291"/>
      <c r="H42" s="12"/>
      <c r="I42" s="12"/>
    </row>
    <row r="43" spans="1:9" s="12" customFormat="1" ht="13.5" customHeight="1">
      <c r="A43" s="9" t="s">
        <v>16</v>
      </c>
      <c r="B43" s="271" t="s">
        <v>490</v>
      </c>
      <c r="C43" s="273"/>
      <c r="D43" s="158" t="s">
        <v>412</v>
      </c>
      <c r="E43" s="158">
        <v>0.284</v>
      </c>
      <c r="F43" s="308">
        <v>4227.67</v>
      </c>
      <c r="G43" s="309"/>
      <c r="H43" s="1"/>
      <c r="I43" s="1"/>
    </row>
    <row r="44" spans="1:7" ht="13.5" customHeight="1">
      <c r="A44" s="9" t="s">
        <v>18</v>
      </c>
      <c r="B44" s="271" t="s">
        <v>430</v>
      </c>
      <c r="C44" s="273"/>
      <c r="D44" s="158"/>
      <c r="E44" s="158"/>
      <c r="F44" s="294">
        <v>1185.44</v>
      </c>
      <c r="G44" s="294"/>
    </row>
    <row r="45" spans="1:7" ht="13.5" customHeight="1">
      <c r="A45" s="9" t="s">
        <v>20</v>
      </c>
      <c r="B45" s="271" t="s">
        <v>430</v>
      </c>
      <c r="C45" s="273"/>
      <c r="D45" s="158"/>
      <c r="E45" s="158"/>
      <c r="F45" s="308">
        <v>869.07</v>
      </c>
      <c r="G45" s="309"/>
    </row>
    <row r="46" spans="1:7" ht="13.5" customHeight="1">
      <c r="A46" s="9" t="s">
        <v>22</v>
      </c>
      <c r="B46" s="271" t="s">
        <v>491</v>
      </c>
      <c r="C46" s="273"/>
      <c r="D46" s="158"/>
      <c r="E46" s="158"/>
      <c r="F46" s="308">
        <v>804.32</v>
      </c>
      <c r="G46" s="309"/>
    </row>
    <row r="47" spans="1:7" ht="13.5" customHeight="1">
      <c r="A47" s="9" t="s">
        <v>24</v>
      </c>
      <c r="B47" s="271" t="s">
        <v>415</v>
      </c>
      <c r="C47" s="273"/>
      <c r="D47" s="158" t="s">
        <v>412</v>
      </c>
      <c r="E47" s="158">
        <v>0.01</v>
      </c>
      <c r="F47" s="308">
        <v>4454.37</v>
      </c>
      <c r="G47" s="309"/>
    </row>
    <row r="48" spans="1:7" s="3" customFormat="1" ht="15">
      <c r="A48" s="9" t="s">
        <v>116</v>
      </c>
      <c r="B48" s="131" t="s">
        <v>286</v>
      </c>
      <c r="C48" s="132"/>
      <c r="D48" s="158"/>
      <c r="E48" s="158"/>
      <c r="F48" s="294">
        <f>E27*1%</f>
        <v>617.6573999999999</v>
      </c>
      <c r="G48" s="294"/>
    </row>
    <row r="49" spans="8:9" s="3" customFormat="1" ht="15">
      <c r="H49" s="1"/>
      <c r="I49" s="1"/>
    </row>
    <row r="50" spans="8:9" s="3" customFormat="1" ht="15">
      <c r="H50" s="1"/>
      <c r="I50" s="1"/>
    </row>
    <row r="51" spans="1:9" s="3" customFormat="1" ht="15">
      <c r="A51" s="3" t="s">
        <v>55</v>
      </c>
      <c r="C51" s="3" t="s">
        <v>49</v>
      </c>
      <c r="F51" s="3" t="s">
        <v>102</v>
      </c>
      <c r="H51" s="1"/>
      <c r="I51" s="1"/>
    </row>
    <row r="52" s="3" customFormat="1" ht="15">
      <c r="F52" s="4" t="s">
        <v>303</v>
      </c>
    </row>
    <row r="53" spans="1:7" ht="15">
      <c r="A53" s="3" t="s">
        <v>50</v>
      </c>
      <c r="B53" s="3"/>
      <c r="C53" s="3"/>
      <c r="D53" s="3"/>
      <c r="E53" s="3"/>
      <c r="F53" s="3"/>
      <c r="G53" s="3"/>
    </row>
    <row r="54" spans="1:7" ht="15">
      <c r="A54" s="3"/>
      <c r="B54" s="3"/>
      <c r="C54" s="14" t="s">
        <v>51</v>
      </c>
      <c r="D54" s="3"/>
      <c r="E54" s="14"/>
      <c r="F54" s="14"/>
      <c r="G54" s="14"/>
    </row>
    <row r="55" spans="1:7" ht="15">
      <c r="A55" s="3"/>
      <c r="B55" s="3"/>
      <c r="C55" s="3"/>
      <c r="D55" s="3"/>
      <c r="E55" s="3"/>
      <c r="F55" s="3"/>
      <c r="G55" s="3"/>
    </row>
  </sheetData>
  <sheetProtection/>
  <mergeCells count="25">
    <mergeCell ref="F48:G48"/>
    <mergeCell ref="B45:C45"/>
    <mergeCell ref="F45:G45"/>
    <mergeCell ref="A13:C13"/>
    <mergeCell ref="A10:I10"/>
    <mergeCell ref="A12:I12"/>
    <mergeCell ref="B46:C46"/>
    <mergeCell ref="F46:G46"/>
    <mergeCell ref="B47:C47"/>
    <mergeCell ref="A1:I1"/>
    <mergeCell ref="A2:I2"/>
    <mergeCell ref="A3:K3"/>
    <mergeCell ref="A5:I5"/>
    <mergeCell ref="F43:G43"/>
    <mergeCell ref="F41:G41"/>
    <mergeCell ref="A11:I11"/>
    <mergeCell ref="B42:C42"/>
    <mergeCell ref="B43:C43"/>
    <mergeCell ref="A34:C34"/>
    <mergeCell ref="A39:I39"/>
    <mergeCell ref="F47:G47"/>
    <mergeCell ref="F42:G42"/>
    <mergeCell ref="F44:G44"/>
    <mergeCell ref="B44:C44"/>
    <mergeCell ref="B41:C4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9" ht="15">
      <c r="A3" s="279" t="s">
        <v>108</v>
      </c>
      <c r="B3" s="279"/>
      <c r="C3" s="279"/>
      <c r="D3" s="279"/>
      <c r="E3" s="279"/>
      <c r="F3" s="279"/>
      <c r="G3" s="279"/>
      <c r="H3" s="279"/>
      <c r="I3" s="279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64" t="s">
        <v>8</v>
      </c>
      <c r="B13" s="264"/>
      <c r="C13" s="264"/>
      <c r="D13" s="264"/>
      <c r="E13" s="264"/>
      <c r="F13" s="264"/>
      <c r="G13" s="264"/>
      <c r="H13" s="264"/>
      <c r="I13" s="264"/>
    </row>
    <row r="14" spans="1:9" s="3" customFormat="1" ht="15">
      <c r="A14" s="264" t="s">
        <v>9</v>
      </c>
      <c r="B14" s="264"/>
      <c r="C14" s="264"/>
      <c r="D14" s="264"/>
      <c r="E14" s="264"/>
      <c r="F14" s="264"/>
      <c r="G14" s="264"/>
      <c r="H14" s="264"/>
      <c r="I14" s="264"/>
    </row>
    <row r="15" spans="1:9" s="3" customFormat="1" ht="15">
      <c r="A15" s="264" t="s">
        <v>10</v>
      </c>
      <c r="B15" s="264"/>
      <c r="C15" s="264"/>
      <c r="D15" s="264"/>
      <c r="E15" s="264"/>
      <c r="F15" s="264"/>
      <c r="G15" s="264"/>
      <c r="H15" s="264"/>
      <c r="I15" s="264"/>
    </row>
    <row r="16" s="3" customFormat="1" ht="15"/>
    <row r="17" spans="1:7" s="18" customFormat="1" ht="52.5" customHeight="1">
      <c r="A17" s="6" t="s">
        <v>11</v>
      </c>
      <c r="B17" s="6" t="s">
        <v>12</v>
      </c>
      <c r="C17" s="6" t="s">
        <v>103</v>
      </c>
      <c r="D17" s="6" t="s">
        <v>127</v>
      </c>
      <c r="E17" s="6" t="s">
        <v>128</v>
      </c>
      <c r="F17" s="17" t="s">
        <v>129</v>
      </c>
      <c r="G17" s="6" t="s">
        <v>130</v>
      </c>
    </row>
    <row r="18" spans="1:9" s="3" customFormat="1" ht="30">
      <c r="A18" s="8" t="s">
        <v>14</v>
      </c>
      <c r="B18" s="9" t="s">
        <v>15</v>
      </c>
      <c r="C18" s="29">
        <v>6.75</v>
      </c>
      <c r="D18" s="10" t="e">
        <f>'Телевизионная 2а'!D18+'Пионерская 16'!D19+'Пионерская 1318'!D19+'Багговута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8" s="10" t="e">
        <f>'Телевизионная 2а'!E18+'Пионерская 16'!E19+'Пионерская 1318'!E19+'Багговута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8" s="10" t="e">
        <f>'Телевизионная 2а'!F18+'Пионерская 16'!F19+'Пионерская 1318'!F19+'Багговута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8" s="10" t="e">
        <f>'Телевизионная 2а'!G18+'Пионерская 16'!G19+'Пионерская 1318'!G19+'Багговута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8" s="32">
        <v>6.75</v>
      </c>
      <c r="I18" s="15"/>
    </row>
    <row r="19" spans="1:9" s="3" customFormat="1" ht="30">
      <c r="A19" s="8" t="s">
        <v>16</v>
      </c>
      <c r="B19" s="9" t="s">
        <v>17</v>
      </c>
      <c r="C19" s="29">
        <v>2.41</v>
      </c>
      <c r="D19" s="10" t="e">
        <f>'Телевизионная 2а'!D19+'Пионерская 16'!D20+'Пионерская 1318'!D20+'Багговута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19" s="10" t="e">
        <f>'Телевизионная 2а'!E19+'Пионерская 16'!E20+'Пионерская 1318'!E20+'Багговута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19" s="10" t="e">
        <f>'Телевизионная 2а'!F19+'Пионерская 16'!F20+'Пионерская 1318'!F20+'Багговута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19" s="10" t="e">
        <f>'Телевизионная 2а'!G19+'Пионерская 16'!G20+'Пионерская 1318'!G20+'Багговута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19" s="32">
        <v>2.41</v>
      </c>
      <c r="I19" s="15">
        <f>H19/H18</f>
        <v>0.35703703703703704</v>
      </c>
    </row>
    <row r="20" spans="1:9" s="3" customFormat="1" ht="45">
      <c r="A20" s="8" t="s">
        <v>18</v>
      </c>
      <c r="B20" s="9" t="s">
        <v>19</v>
      </c>
      <c r="C20" s="29">
        <v>1.2</v>
      </c>
      <c r="D20" s="10" t="e">
        <f>'Телевизионная 2а'!D20+'Пионерская 16'!D21+'Пионерская 1318'!D21+'Багговута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0" s="10" t="e">
        <f>'Телевизионная 2а'!E20+'Пионерская 16'!E21+'Пионерская 1318'!E21+'Багговута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0" s="10" t="e">
        <f>'Телевизионная 2а'!F20+'Пионерская 16'!F21+'Пионерская 1318'!F21+'Багговута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0" s="10" t="e">
        <f>'Телевизионная 2а'!G20+'Пионерская 16'!G21+'Пионерская 1318'!G21+'Багговута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0" s="32">
        <v>1.2</v>
      </c>
      <c r="I20" s="15">
        <f>H20/H18</f>
        <v>0.17777777777777778</v>
      </c>
    </row>
    <row r="21" spans="1:9" s="3" customFormat="1" ht="30">
      <c r="A21" s="8" t="s">
        <v>20</v>
      </c>
      <c r="B21" s="9" t="s">
        <v>21</v>
      </c>
      <c r="C21" s="29">
        <v>1.51</v>
      </c>
      <c r="D21" s="10" t="e">
        <f>'Телевизионная 2а'!D21+'Пионерская 16'!D22+'Пионерская 1318'!D22+'Багговута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1" s="10" t="e">
        <f>'Телевизионная 2а'!E21+'Пионерская 16'!E22+'Пионерская 1318'!E22+'Багговута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1" s="10" t="e">
        <f>'Телевизионная 2а'!F21+'Пионерская 16'!F22+'Пионерская 1318'!F22+'Багговута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1" s="10" t="e">
        <f>'Телевизионная 2а'!G21+'Пионерская 16'!G22+'Пионерская 1318'!G22+'Багговута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1" s="32">
        <v>1.51</v>
      </c>
      <c r="I21" s="15">
        <f>H21/H18</f>
        <v>0.2237037037037037</v>
      </c>
    </row>
    <row r="22" spans="1:9" s="3" customFormat="1" ht="30">
      <c r="A22" s="8" t="s">
        <v>22</v>
      </c>
      <c r="B22" s="9" t="s">
        <v>23</v>
      </c>
      <c r="C22" s="29">
        <v>1.63</v>
      </c>
      <c r="D22" s="10" t="e">
        <f>'Телевизионная 2а'!D22+'Пионерская 16'!D23+'Пионерская 1318'!D23+'Багговута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12'!D23+'Калинина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к.1'!D23+#REF!+'Пионерская 2'!D23+'Телевизионная 2 к.1'!D23+'Чичерина 16'!D23+'Чичерина 22'!D23+#REF!+'Ленина 68,8'!D23+'Ленина 67'!D23+'Огарева 20'!D22+'Пролетарская 40'!D22+'Чижевского 4'!D23</f>
        <v>#REF!</v>
      </c>
      <c r="E22" s="10" t="e">
        <f>'Телевизионная 2а'!E22+'Пионерская 16'!E23+'Пионерская 1318'!E23+'Багговута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12'!E23+'Калинина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к.1'!E23+#REF!+'Пионерская 2'!E23+'Телевизионная 2 к.1'!E23+'Чичерина 16'!E23+'Чичерина 22'!E23+#REF!+'Ленина 68,8'!E23+'Ленина 67'!E23+'Огарева 20'!E22+'Пролетарская 40'!E22+'Чижевского 4'!E23</f>
        <v>#REF!</v>
      </c>
      <c r="F22" s="10" t="e">
        <f>'Телевизионная 2а'!F22+'Пионерская 16'!F23+'Пионерская 1318'!F23+'Багговута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12'!F23+'Калинина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к.1'!F23+#REF!+'Пионерская 2'!F23+'Телевизионная 2 к.1'!F23+'Чичерина 16'!F23+'Чичерина 22'!F23+#REF!+'Ленина 68,8'!F23+'Ленина 67'!F23+'Огарева 20'!F22+'Пролетарская 40'!F22+'Чижевского 4'!F23</f>
        <v>#REF!</v>
      </c>
      <c r="G22" s="10" t="e">
        <f>'Телевизионная 2а'!G22+'Пионерская 16'!G23+'Пионерская 1318'!G23+'Багговута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12'!G23+'Калинина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к.1'!G23+#REF!+'Пионерская 2'!G23+'Телевизионная 2 к.1'!G23+'Чичерина 16'!G23+'Чичерина 22'!G23+#REF!+'Ленина 68,8'!G23+'Ленина 67'!G23+'Огарева 20'!G22+'Пролетарская 40'!G22+'Чижевского 4'!G23</f>
        <v>#REF!</v>
      </c>
      <c r="H22" s="32">
        <v>1.63</v>
      </c>
      <c r="I22" s="15">
        <f>H22/H18</f>
        <v>0.24148148148148146</v>
      </c>
    </row>
    <row r="23" spans="1:7" ht="15">
      <c r="A23" s="9" t="s">
        <v>25</v>
      </c>
      <c r="B23" s="9" t="s">
        <v>26</v>
      </c>
      <c r="C23" s="29">
        <v>3.15</v>
      </c>
      <c r="D23" s="10" t="e">
        <f>'Телевизионная 2а'!D23+'Пионерская 16'!#REF!+'Пионерская 1318'!#REF!+'Багговута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12'!D24+'Калинина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к.1'!D24+#REF!+'Пионерская 2'!D24+'Телевизионная 2 к.1'!D24+'Чичерина 16'!D24+'Чичерина 22'!D24+#REF!+'Ленина 68,8'!D24+'Ленина 67'!D24+'Огарева 20'!D23+'Пролетарская 40'!D23+'Чижевского 4'!D24</f>
        <v>#REF!</v>
      </c>
      <c r="E23" s="10" t="e">
        <f>'Телевизионная 2а'!E23+'Пионерская 16'!#REF!+'Пионерская 1318'!#REF!+'Багговута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12'!E24+'Калинина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к.1'!E24+#REF!+'Пионерская 2'!E24+'Телевизионная 2 к.1'!E24+'Чичерина 16'!E24+'Чичерина 22'!E24+#REF!+'Ленина 68,8'!E24+'Ленина 67'!E24+'Огарева 20'!E23+'Пролетарская 40'!E23+'Чижевского 4'!E24</f>
        <v>#REF!</v>
      </c>
      <c r="F23" s="10" t="e">
        <f>'Телевизионная 2а'!F23+'Пионерская 16'!#REF!+'Пионерская 1318'!#REF!+'Багговута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12'!F24+'Калинина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к.1'!F24+#REF!+'Пионерская 2'!F24+'Телевизионная 2 к.1'!F24+'Чичерина 16'!F24+'Чичерина 22'!F24+#REF!+'Ленина 68,8'!F24+'Ленина 67'!F24+'Огарева 20'!F23+'Пролетарская 40'!F23+'Чижевского 4'!F24</f>
        <v>#REF!</v>
      </c>
      <c r="G23" s="10" t="e">
        <f>'Телевизионная 2а'!G23+'Пионерская 16'!#REF!+'Пионерская 1318'!#REF!+'Багговута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12'!G24+'Калинина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к.1'!G24+#REF!+'Пионерская 2'!G24+'Телевизионная 2 к.1'!G24+'Чичерина 16'!G24+'Чичерина 22'!G24+#REF!+'Ленина 68,8'!G24+'Ленина 67'!G24+'Огарева 20'!G23+'Пролетарская 40'!G23+'Чижевского 4'!G24</f>
        <v>#REF!</v>
      </c>
    </row>
    <row r="24" spans="1:7" ht="15">
      <c r="A24" s="9" t="s">
        <v>27</v>
      </c>
      <c r="B24" s="9" t="s">
        <v>28</v>
      </c>
      <c r="C24" s="16">
        <v>2.6</v>
      </c>
      <c r="D24" s="10" t="e">
        <f>'Телевизионная 2а'!D24+'Пионерская 16'!#REF!+'Пионерская 1318'!D24+'Багговута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24'!D25+'пер. Чичерина 28'!D25+'Калинина 12'!D25+'Калинина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к.1'!D25+#REF!+'Пионерская 2'!D25+'Телевизионная 2 к.1'!D25+'Чичерина 16'!D25+'Чичерина 22'!D25+#REF!+'Ленина 68,8'!D25+'Ленина 67'!D25+'Огарева 20'!D24+'Пролетарская 40'!D24+'Чижевского 4'!D25</f>
        <v>#REF!</v>
      </c>
      <c r="E24" s="10" t="e">
        <f>'Телевизионная 2а'!E24+'Пионерская 16'!#REF!+'Пионерская 1318'!E24+'Багговута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24'!E25+'пер. Чичерина 28'!E25+'Калинина 12'!E25+'Калинина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к.1'!E25+#REF!+'Пионерская 2'!E25+'Телевизионная 2 к.1'!E25+'Чичерина 16'!E25+'Чичерина 22'!E25+#REF!+'Ленина 68,8'!E25+'Ленина 67'!E25+'Огарева 20'!E24+'Пролетарская 40'!E24+'Чижевского 4'!E25</f>
        <v>#REF!</v>
      </c>
      <c r="F24" s="10" t="e">
        <f>'Телевизионная 2а'!F24+'Пионерская 16'!#REF!+'Пионерская 1318'!F24+'Багговута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24'!F25+'пер. Чичерина 28'!F25+'Калинина 12'!F25+'Калинина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к.1'!F25+#REF!+'Пионерская 2'!F25+'Телевизионная 2 к.1'!F25+'Чичерина 16'!F25+'Чичерина 22'!F25+#REF!+'Ленина 68,8'!F25+'Ленина 67'!F25+'Огарева 20'!F24+'Пролетарская 40'!F24+'Чижевского 4'!F25</f>
        <v>#REF!</v>
      </c>
      <c r="G24" s="10" t="e">
        <f>'Телевизионная 2а'!G24+'Пионерская 16'!#REF!+'Пионерская 1318'!G24+'Багговута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24'!G25+'пер. Чичерина 28'!G25+'Калинина 12'!G25+'Калинина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к.1'!G25+#REF!+'Пионерская 2'!G25+'Телевизионная 2 к.1'!G25+'Чичерина 16'!G25+'Чичерина 22'!G25+#REF!+'Ленина 68,8'!G25+'Ленина 67'!G25+'Огарева 20'!G24+'Пролетарская 40'!G24+'Чижевского 4'!G25</f>
        <v>#REF!</v>
      </c>
    </row>
    <row r="25" spans="1:7" ht="30">
      <c r="A25" s="9" t="s">
        <v>29</v>
      </c>
      <c r="B25" s="9" t="s">
        <v>30</v>
      </c>
      <c r="C25" s="29">
        <v>0.81</v>
      </c>
      <c r="D25" s="10" t="e">
        <f>'Телевизионная 2а'!D25+'Пионерская 16'!D24+'Пионерская 1318'!D25+'Багговута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24'!#REF!+'пер. Чичерина 28'!D26+'Калинина 12'!D26+'Калинина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к.1'!D26+#REF!+'Пионерская 2'!D26+'Телевизионная 2 к.1'!D26+'Чичерина 16'!D26+'Чичерина 22'!D26+#REF!+'Ленина 68,8'!D26+'Ленина 67'!D26+'Огарева 20'!D25+'Пролетарская 40'!D25+'Чижевского 4'!D26</f>
        <v>#REF!</v>
      </c>
      <c r="E25" s="10" t="e">
        <f>'Телевизионная 2а'!E25+'Пионерская 16'!E24+'Пионерская 1318'!E25+'Багговута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24'!#REF!+'пер. Чичерина 28'!E26+'Калинина 12'!E26+'Калинина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к.1'!E26+#REF!+'Пионерская 2'!E26+'Телевизионная 2 к.1'!E26+'Чичерина 16'!E26+'Чичерина 22'!E26+#REF!+'Ленина 68,8'!E26+'Ленина 67'!E26+'Огарева 20'!E25+'Пролетарская 40'!E25+'Чижевского 4'!E26</f>
        <v>#REF!</v>
      </c>
      <c r="F25" s="10" t="e">
        <f>'Телевизионная 2а'!F25+'Пионерская 16'!F24+'Пионерская 1318'!F25+'Багговута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24'!#REF!+'пер. Чичерина 28'!F26+'Калинина 12'!F26+'Калинина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к.1'!F26+#REF!+'Пионерская 2'!F26+'Телевизионная 2 к.1'!F26+'Чичерина 16'!F26+'Чичерина 22'!F26+#REF!+'Ленина 68,8'!F26+'Ленина 67'!F26+'Огарева 20'!F25+'Пролетарская 40'!F25+'Чижевского 4'!F26</f>
        <v>#REF!</v>
      </c>
      <c r="G25" s="10" t="e">
        <f>'Телевизионная 2а'!G25+'Пионерская 16'!G24+'Пионерская 1318'!G25+'Багговута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24'!#REF!+'пер. Чичерина 28'!G26+'Калинина 12'!G26+'Калинина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к.1'!G26+#REF!+'Пионерская 2'!G26+'Телевизионная 2 к.1'!G26+'Чичерина 16'!G26+'Чичерина 22'!G26+#REF!+'Ленина 68,8'!G26+'Ленина 67'!G26+'Огарева 20'!G25+'Пролетарская 40'!G25+'Чижевского 4'!G26</f>
        <v>#REF!</v>
      </c>
    </row>
    <row r="26" spans="1:7" ht="15">
      <c r="A26" s="9" t="s">
        <v>31</v>
      </c>
      <c r="B26" s="28" t="s">
        <v>131</v>
      </c>
      <c r="C26" s="29">
        <v>1.61</v>
      </c>
      <c r="D26" s="10" t="e">
        <f>'Телевизионная 2а'!D26+'Пионерская 16'!D25+'Пионерская 1318'!D26+'Багговута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12'!D27+'Калинина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к.1'!D27+#REF!+'Пионерская 2'!D27+'Телевизионная 2 к.1'!D27+'Чичерина 16'!D27+'Чичерина 22'!D27+#REF!+'Ленина 68,8'!D27+'Ленина 67'!D27+'Огарева 20'!D26+'Пролетарская 40'!D26+'Чижевского 4'!D27</f>
        <v>#REF!</v>
      </c>
      <c r="E26" s="10" t="e">
        <f>'Телевизионная 2а'!E26+'Пионерская 16'!E25+'Пионерская 1318'!E26+'Багговута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12'!E27+'Калинина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к.1'!E27+#REF!+'Пионерская 2'!E27+'Телевизионная 2 к.1'!E27+'Чичерина 16'!E27+'Чичерина 22'!E27+#REF!+'Ленина 68,8'!E27+'Ленина 67'!E27+'Огарева 20'!E26+'Пролетарская 40'!E26+'Чижевского 4'!E27</f>
        <v>#REF!</v>
      </c>
      <c r="F26" s="10" t="e">
        <f>'Телевизионная 2а'!F26+'Пионерская 16'!F25+'Пионерская 1318'!F26+'Багговута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12'!F27+'Калинина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к.1'!F27+#REF!+'Пионерская 2'!F27+'Телевизионная 2 к.1'!F27+'Чичерина 16'!F27+'Чичерина 22'!F27+#REF!+'Ленина 68,8'!F27+'Ленина 67'!F27+'Огарева 20'!F26+'Пролетарская 40'!F26+'Чижевского 4'!F27</f>
        <v>#REF!</v>
      </c>
      <c r="G26" s="10" t="e">
        <f>'Телевизионная 2а'!G26+'Пионерская 16'!G25+'Пионерская 1318'!G26+'Багговута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12'!G27+'Калинина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к.1'!G27+#REF!+'Пионерская 2'!G27+'Телевизионная 2 к.1'!G27+'Чичерина 16'!G27+'Чичерина 22'!G27+#REF!+'Ленина 68,8'!G27+'Ленина 67'!G27+'Огарева 20'!G26+'Пролетарская 40'!G26+'Чижевского 4'!G27</f>
        <v>#REF!</v>
      </c>
    </row>
    <row r="27" spans="1:7" ht="30">
      <c r="A27" s="9" t="s">
        <v>33</v>
      </c>
      <c r="B27" s="9" t="s">
        <v>34</v>
      </c>
      <c r="C27" s="29">
        <v>0</v>
      </c>
      <c r="D27" s="10" t="e">
        <f>'Телевизионная 2а'!D27+'Пионерская 16'!#REF!+'Пионерская 1318'!D27+'Багговута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12'!D28+'Калинина 18'!D28+'Калинина 23'!D28+'Пионерская 9'!D28+'Высокая 4'!D28+'Пухова 15'!D28+#REF!+#REF!+'Пухова 17'!D28+'Калинина 4'!D28+'Пионерская 18'!D28+'Чичерина 12 к.1'!D28+'Телевизионная 6 к.1'!D28+#REF!+'Пионерская 2'!D28+'Телевизионная 2 к.1'!D28+'Чичерина 16'!D28+'Чичерина 22'!D28+#REF!+'Ленина 68,8'!D28+'Ленина 67'!D28+'Огарева 20'!D27+'Пролетарская 40'!D27+'Чижевского 4'!D28</f>
        <v>#REF!</v>
      </c>
      <c r="E27" s="10" t="e">
        <f>'Телевизионная 2а'!E27+'Пионерская 16'!#REF!+'Пионерская 1318'!E27+'Багговута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12'!E28+'Калинина 18'!E28+'Калинина 23'!E28+'Пионерская 9'!E28+'Высокая 4'!E28+'Пухова 15'!E28+#REF!+#REF!+'Пухова 17'!E28+'Калинина 4'!E28+'Пионерская 18'!E28+'Чичерина 12 к.1'!E28+'Телевизионная 6 к.1'!E28+#REF!+'Пионерская 2'!E28+'Телевизионная 2 к.1'!E28+'Чичерина 16'!E28+'Чичерина 22'!E28+#REF!+'Ленина 68,8'!E28+'Ленина 67'!E28+'Огарева 20'!E27+'Пролетарская 40'!E27+'Чижевского 4'!E28</f>
        <v>#REF!</v>
      </c>
      <c r="F27" s="10" t="e">
        <f>'Телевизионная 2а'!F27+'Пионерская 16'!#REF!+'Пионерская 1318'!F27+'Багговута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12'!F28+'Калинина 18'!F28+'Калинина 23'!F28+'Пионерская 9'!F28+'Высокая 4'!F28+'Пухова 15'!F28+#REF!+#REF!+'Пухова 17'!F28+'Калинина 4'!F28+'Пионерская 18'!F28+'Чичерина 12 к.1'!F28+'Телевизионная 6 к.1'!F28+#REF!+'Пионерская 2'!F28+'Телевизионная 2 к.1'!F28+'Чичерина 16'!F28+'Чичерина 22'!F28+#REF!+'Ленина 68,8'!F28+'Ленина 67'!F28+'Огарева 20'!F27+'Пролетарская 40'!F27+'Чижевского 4'!F28</f>
        <v>#REF!</v>
      </c>
      <c r="G27" s="10" t="e">
        <f>'Телевизионная 2а'!G27+'Пионерская 16'!#REF!+'Пионерская 1318'!G27+'Багговута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12'!G28+'Калинина 18'!G28+'Калинина 23'!G28+'Пионерская 9'!G28+'Высокая 4'!G28+'Пухова 15'!G28+#REF!+#REF!+'Пухова 17'!G28+'Калинина 4'!G28+'Пионерская 18'!G28+'Чичерина 12 к.1'!G28+'Телевизионная 6 к.1'!G28+#REF!+'Пионерская 2'!G28+'Телевизионная 2 к.1'!G28+'Чичерина 16'!G28+'Чичерина 22'!G28+#REF!+'Ленина 68,8'!G28+'Ленина 67'!G28+'Огарева 20'!G27+'Пролетарская 40'!G27+'Чижевского 4'!G28</f>
        <v>#REF!</v>
      </c>
    </row>
    <row r="28" spans="1:7" ht="30">
      <c r="A28" s="9" t="s">
        <v>35</v>
      </c>
      <c r="B28" s="9" t="s">
        <v>36</v>
      </c>
      <c r="C28" s="29">
        <f>SUM(C29:C32)</f>
        <v>1680.9299999999998</v>
      </c>
      <c r="D28" s="10" t="e">
        <f>'Телевизионная 2а'!D28+'Пионерская 16'!D26+'Пионерская 1318'!D28+'Багговута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12'!D29+'Калинина 18'!D29+'Калинина 23'!D29+'Пионерская 9'!D29+'Высокая 4'!D29+'Пухова 15'!D29+#REF!+#REF!+'Пухова 17'!D29+'Калинина 4'!D29+'Пионерская 18'!D29+'Чичерина 12 к.1'!D29+'Телевизионная 6 к.1'!D29+#REF!+'Пионерская 2'!D29+'Телевизионная 2 к.1'!D29+'Чичерина 16'!D29+'Чичерина 22'!D29+#REF!+'Ленина 68,8'!D30+'Ленина 67'!D29+'Огарева 20'!D28+'Пролетарская 40'!D28+'Чижевского 4'!D29</f>
        <v>#REF!</v>
      </c>
      <c r="E28" s="10" t="e">
        <f>'Телевизионная 2а'!E28+'Пионерская 16'!E26+'Пионерская 1318'!E28+'Багговута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12'!E29+'Калинина 18'!E29+'Калинина 23'!E29+'Пионерская 9'!E29+'Высокая 4'!E29+'Пухова 15'!E29+#REF!+#REF!+'Пухова 17'!E29+'Калинина 4'!E29+'Пионерская 18'!E29+'Чичерина 12 к.1'!E29+'Телевизионная 6 к.1'!E29+#REF!+'Пионерская 2'!E29+'Телевизионная 2 к.1'!E29+'Чичерина 16'!E29+'Чичерина 22'!E29+#REF!+'Ленина 68,8'!E30+'Ленина 67'!E29+'Огарева 20'!E28+'Пролетарская 40'!E28+'Чижевского 4'!E29</f>
        <v>#REF!</v>
      </c>
      <c r="F28" s="10" t="e">
        <f>'Телевизионная 2а'!F28+'Пионерская 16'!F26+'Пионерская 1318'!F28+'Багговута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12'!F29+'Калинина 18'!F29+'Калинина 23'!F29+'Пионерская 9'!F29+'Высокая 4'!F29+'Пухова 15'!F29+#REF!+#REF!+'Пухова 17'!F29+'Калинина 4'!F29+'Пионерская 18'!F29+'Чичерина 12 к.1'!F29+'Телевизионная 6 к.1'!F29+#REF!+'Пионерская 2'!F29+'Телевизионная 2 к.1'!F29+'Чичерина 16'!F29+'Чичерина 22'!F29+#REF!+'Ленина 68,8'!F30+'Ленина 67'!F29+'Огарева 20'!F28+'Пролетарская 40'!F28+'Чижевского 4'!F29</f>
        <v>#REF!</v>
      </c>
      <c r="G28" s="10" t="e">
        <f>'Телевизионная 2а'!G28+'Пионерская 16'!G26+'Пионерская 1318'!G28+'Багговута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12'!G29+'Калинина 18'!G29+'Калинина 23'!G29+'Пионерская 9'!G29+'Высокая 4'!G29+'Пухова 15'!G29+#REF!+#REF!+'Пухова 17'!G29+'Калинина 4'!G29+'Пионерская 18'!G29+'Чичерина 12 к.1'!G29+'Телевизионная 6 к.1'!G29+#REF!+'Пионерская 2'!G29+'Телевизионная 2 к.1'!G29+'Чичерина 16'!G29+'Чичерина 22'!G29+#REF!+'Ленина 68,8'!G30+'Ленина 67'!G29+'Огарева 20'!G28+'Пролетарская 40'!G28+'Чижевского 4'!G29</f>
        <v>#REF!</v>
      </c>
    </row>
    <row r="29" spans="1:7" ht="15">
      <c r="A29" s="9" t="s">
        <v>37</v>
      </c>
      <c r="B29" s="9" t="s">
        <v>106</v>
      </c>
      <c r="C29" s="16">
        <v>3.13</v>
      </c>
      <c r="D29" s="10" t="e">
        <f>'Телевизионная 2а'!D29+'Пионерская 16'!D27+'Пионерская 1318'!D29+'Багговута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12'!D30+'Калинина 18'!D30+'Калинина 23'!D30+'Пионерская 9'!D30+'Высокая 4'!D30+'Пухова 15'!D30+#REF!+#REF!+'Пухова 17'!D30+'Калинина 4'!D30+'Пионерская 18'!D30+'Чичерина 12 к.1'!D30+'Телевизионная 6 к.1'!D30+#REF!+'Пионерская 2'!D30+'Телевизионная 2 к.1'!D30+'Чичерина 16'!D30+'Чичерина 22'!D30+#REF!+'Ленина 68,8'!D31+'Ленина 67'!D30+'Огарева 20'!D29+'Пролетарская 40'!D29+'Чижевского 4'!D30</f>
        <v>#REF!</v>
      </c>
      <c r="E29" s="10" t="e">
        <f>'Телевизионная 2а'!E29+'Пионерская 16'!E27+'Пионерская 1318'!E29+'Багговута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12'!E30+'Калинина 18'!E30+'Калинина 23'!E30+'Пионерская 9'!E30+'Высокая 4'!E30+'Пухова 15'!E30+#REF!+#REF!+'Пухова 17'!E30+'Калинина 4'!E30+'Пионерская 18'!E30+'Чичерина 12 к.1'!E30+'Телевизионная 6 к.1'!E30+#REF!+'Пионерская 2'!E30+'Телевизионная 2 к.1'!E30+'Чичерина 16'!E30+'Чичерина 22'!E30+#REF!+'Ленина 68,8'!E31+'Ленина 67'!E30+'Огарева 20'!E29+'Пролетарская 40'!E29+'Чижевского 4'!E30</f>
        <v>#REF!</v>
      </c>
      <c r="F29" s="10" t="e">
        <f>'Телевизионная 2а'!F29+'Пионерская 16'!F27+'Пионерская 1318'!F29+'Багговута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12'!F30+'Калинина 18'!F30+'Калинина 23'!F30+'Пионерская 9'!F30+'Высокая 4'!F30+'Пухова 15'!F30+#REF!+#REF!+'Пухова 17'!F30+'Калинина 4'!F30+'Пионерская 18'!F30+'Чичерина 12 к.1'!F30+'Телевизионная 6 к.1'!F30+#REF!+'Пионерская 2'!F30+'Телевизионная 2 к.1'!F30+'Чичерина 16'!F30+'Чичерина 22'!F30+#REF!+'Ленина 68,8'!F31+'Ленина 67'!F30+'Огарева 20'!F29+'Пролетарская 40'!F29+'Чижевского 4'!F30</f>
        <v>#REF!</v>
      </c>
      <c r="G29" s="10" t="e">
        <f>'Телевизионная 2а'!G29+'Пионерская 16'!G27+'Пионерская 1318'!G29+'Багговута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12'!G30+'Калинина 18'!G30+'Калинина 23'!G30+'Пионерская 9'!G30+'Высокая 4'!G30+'Пухова 15'!G30+#REF!+#REF!+'Пухова 17'!G30+'Калинина 4'!G30+'Пионерская 18'!G30+'Чичерина 12 к.1'!G30+'Телевизионная 6 к.1'!G30+#REF!+'Пионерская 2'!G30+'Телевизионная 2 к.1'!G30+'Чичерина 16'!G30+'Чичерина 22'!G30+#REF!+'Ленина 68,8'!G31+'Ленина 67'!G30+'Огарева 20'!G29+'Пролетарская 40'!G29+'Чижевского 4'!G30</f>
        <v>#REF!</v>
      </c>
    </row>
    <row r="30" spans="1:7" ht="15">
      <c r="A30" s="9" t="s">
        <v>39</v>
      </c>
      <c r="B30" s="9" t="s">
        <v>38</v>
      </c>
      <c r="C30" s="16">
        <v>18.21</v>
      </c>
      <c r="D30" s="10" t="e">
        <f>'Телевизионная 2а'!D30+'Пионерская 16'!D28+'Пионерская 1318'!D30+'Багговута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12'!D31+'Калинина 18'!D31+'Калинина 23'!D31+'Пионерская 9'!D31+'Высокая 4'!D31+'Пухова 15'!D31+#REF!+#REF!+'Пухова 17'!D31+'Калинина 4'!D31+'Пионерская 18'!D31+'Чичерина 12 к.1'!D31+'Телевизионная 6 к.1'!D31+#REF!+'Пионерская 2'!D31+'Телевизионная 2 к.1'!D31+'Чичерина 16'!D31+'Чичерина 22'!D31+#REF!+'Ленина 68,8'!D32+'Ленина 67'!D31+'Огарева 20'!D30+'Пролетарская 40'!D30+'Чижевского 4'!D31</f>
        <v>#REF!</v>
      </c>
      <c r="E30" s="10" t="e">
        <f>'Телевизионная 2а'!E30+'Пионерская 16'!E28+'Пионерская 1318'!E30+'Багговута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12'!E31+'Калинина 18'!E31+'Калинина 23'!E31+'Пионерская 9'!E31+'Высокая 4'!E31+'Пухова 15'!E31+#REF!+#REF!+'Пухова 17'!E31+'Калинина 4'!E31+'Пионерская 18'!E31+'Чичерина 12 к.1'!E31+'Телевизионная 6 к.1'!E31+#REF!+'Пионерская 2'!E31+'Телевизионная 2 к.1'!E31+'Чичерина 16'!E31+'Чичерина 22'!E31+#REF!+'Ленина 68,8'!E32+'Ленина 67'!E31+'Огарева 20'!E30+'Пролетарская 40'!E30+'Чижевского 4'!E31</f>
        <v>#REF!</v>
      </c>
      <c r="F30" s="10" t="e">
        <f>'Телевизионная 2а'!F30+'Пионерская 16'!F28+'Пионерская 1318'!F30+'Багговута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12'!F31+'Калинина 18'!F31+'Калинина 23'!F31+'Пионерская 9'!F31+'Высокая 4'!F31+'Пухова 15'!F31+#REF!+#REF!+'Пухова 17'!F31+'Калинина 4'!F31+'Пионерская 18'!F31+'Чичерина 12 к.1'!F31+'Телевизионная 6 к.1'!F31+#REF!+'Пионерская 2'!F31+'Телевизионная 2 к.1'!F31+'Чичерина 16'!F31+'Чичерина 22'!F31+#REF!+'Ленина 68,8'!F32+'Ленина 67'!F31+'Огарева 20'!F30+'Пролетарская 40'!F30+'Чижевского 4'!F31</f>
        <v>#REF!</v>
      </c>
      <c r="G30" s="10" t="e">
        <f>'Телевизионная 2а'!G30+'Пионерская 16'!G28+'Пионерская 1318'!G30+'Багговута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12'!G31+'Калинина 18'!G31+'Калинина 23'!G31+'Пионерская 9'!G31+'Высокая 4'!G31+'Пухова 15'!G31+#REF!+#REF!+'Пухова 17'!G31+'Калинина 4'!G31+'Пионерская 18'!G31+'Чичерина 12 к.1'!G31+'Телевизионная 6 к.1'!G31+#REF!+'Пионерская 2'!G31+'Телевизионная 2 к.1'!G31+'Чичерина 16'!G31+'Чичерина 22'!G31+#REF!+'Ленина 68,8'!G32+'Ленина 67'!G31+'Огарева 20'!G30+'Пролетарская 40'!G30+'Чижевского 4'!G31</f>
        <v>#REF!</v>
      </c>
    </row>
    <row r="31" spans="1:7" ht="15">
      <c r="A31" s="9" t="s">
        <v>42</v>
      </c>
      <c r="B31" s="9" t="s">
        <v>40</v>
      </c>
      <c r="C31" s="16">
        <v>115.3</v>
      </c>
      <c r="D31" s="10" t="e">
        <f>'Телевизионная 2а'!D31+'Пионерская 16'!D29+'Пионерская 1318'!D31+'Багговута 12'!D32+'Пионерская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12'!D32+'Калинина 18'!D32+'Калинина 23'!D32+'Пионерская 9'!D32+'Высокая 4'!D32+'Пухова 15'!D32+#REF!+#REF!+'Пухова 17'!D32+'Калинина 4'!D32+'Пионерская 18'!D32+'Чичерина 12 к.1'!D32+'Телевизионная 6 к.1'!D32+#REF!+'Пионерская 2'!D32+'Телевизионная 2 к.1'!D32+'Чичерина 16'!D32+'Чичерина 22'!D32+#REF!+'Ленина 68,8'!D33+'Ленина 67'!D32+'Огарева 20'!D31+'Пролетарская 40'!D31+'Чижевского 4'!D32</f>
        <v>#REF!</v>
      </c>
      <c r="E31" s="10" t="e">
        <f>'Телевизионная 2а'!E31+'Пионерская 16'!E29+'Пионерская 1318'!E31+'Багговута 12'!E32+'Пионерская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12'!E32+'Калинина 18'!E32+'Калинина 23'!E32+'Пионерская 9'!E32+'Высокая 4'!E32+'Пухова 15'!E32+#REF!+#REF!+'Пухова 17'!E32+'Калинина 4'!E32+'Пионерская 18'!E32+'Чичерина 12 к.1'!E32+'Телевизионная 6 к.1'!E32+#REF!+'Пионерская 2'!E32+'Телевизионная 2 к.1'!E32+'Чичерина 16'!E32+'Чичерина 22'!E32+#REF!+'Ленина 68,8'!E33+'Ленина 67'!E32+'Огарева 20'!E31+'Пролетарская 40'!E31+'Чижевского 4'!E32</f>
        <v>#REF!</v>
      </c>
      <c r="F31" s="10" t="e">
        <f>'Телевизионная 2а'!F31+'Пионерская 16'!F29+'Пионерская 1318'!F31+'Багговута 12'!F32+'Пионерская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12'!F32+'Калинина 18'!F32+'Калинина 23'!F32+'Пионерская 9'!F32+'Высокая 4'!F32+'Пухова 15'!F32+#REF!+#REF!+'Пухова 17'!F32+'Калинина 4'!F32+'Пионерская 18'!F32+'Чичерина 12 к.1'!F32+'Телевизионная 6 к.1'!F32+#REF!+'Пионерская 2'!F32+'Телевизионная 2 к.1'!F32+'Чичерина 16'!F32+'Чичерина 22'!F32+#REF!+'Ленина 68,8'!F33+'Ленина 67'!F32+'Огарева 20'!F31+'Пролетарская 40'!F31+'Чижевского 4'!F32</f>
        <v>#REF!</v>
      </c>
      <c r="G31" s="10" t="e">
        <f>'Телевизионная 2а'!G31+'Пионерская 16'!G29+'Пионерская 1318'!G31+'Багговута 12'!G32+'Пионерская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12'!G32+'Калинина 18'!G32+'Калинина 23'!G32+'Пионерская 9'!G32+'Высокая 4'!G32+'Пухова 15'!G32+#REF!+#REF!+'Пухова 17'!G32+'Калинина 4'!G32+'Пионерская 18'!G32+'Чичерина 12 к.1'!G32+'Телевизионная 6 к.1'!G32+#REF!+'Пионерская 2'!G32+'Телевизионная 2 к.1'!G32+'Чичерина 16'!G32+'Чичерина 22'!G32+#REF!+'Ленина 68,8'!G33+'Ленина 67'!G32+'Огарева 20'!G31+'Пролетарская 40'!G31+'Чижевского 4'!G32</f>
        <v>#REF!</v>
      </c>
    </row>
    <row r="32" spans="1:7" ht="15">
      <c r="A32" s="9" t="s">
        <v>41</v>
      </c>
      <c r="B32" s="9" t="s">
        <v>43</v>
      </c>
      <c r="C32" s="16">
        <v>1544.29</v>
      </c>
      <c r="D32" s="10" t="e">
        <f>'Телевизионная 2а'!D32+'Пионерская 16'!D30+'Пионерская 1318'!D32+'Багговута 12'!#REF!+'Пионерская 15'!D32+'Социалистическая 3'!D33+'Социалистическая 4'!D33+'Социалистическая 6'!D33+'Социалистическая 6 к.1'!D33+'Социалистическая 9'!D33+'Социалистическая 12'!D33+'Телевизионная 2'!D33+'Телевизионная 4'!D33+'Чичерина 7а'!D33+'Чичерина 8'!D33+#REF!+'Чичерина 16 к. 1'!D33+'пер.Чичерина 24'!D32+'пер. Чичерина 28'!D33+'Калинина 12'!D33+'Калинина 18'!D33+'Калинина 23'!D33+'Пионерская 9'!D33+'Высокая 4'!D33+'Пухова 15'!D33+#REF!+#REF!+'Пухова 17'!D33+'Калинина 4'!D33+'Пионерская 18'!D33+'Чичерина 12 к.1'!D33+'Телевизионная 6 к.1'!D33+#REF!+'Пионерская 2'!D33+'Телевизионная 2 к.1'!D33+'Чичерина 16'!D33+'Чичерина 22'!D33+#REF!+'Ленина 68,8'!D34+'Ленина 67'!D33+'Огарева 20'!D32+'Пролетарская 40'!D32+'Чижевского 4'!D33</f>
        <v>#REF!</v>
      </c>
      <c r="E32" s="10" t="e">
        <f>'Телевизионная 2а'!E32+'Пионерская 16'!E30+'Пионерская 1318'!E32+'Багговута 12'!#REF!+'Пионерская 15'!E32+'Социалистическая 3'!E33+'Социалистическая 4'!E33+'Социалистическая 6'!E33+'Социалистическая 6 к.1'!E33+'Социалистическая 9'!E33+'Социалистическая 12'!E33+'Телевизионная 2'!E33+'Телевизионная 4'!E33+'Чичерина 7а'!E33+'Чичерина 8'!E33+#REF!+'Чичерина 16 к. 1'!E33+'пер.Чичерина 24'!E32+'пер. Чичерина 28'!E33+'Калинина 12'!E33+'Калинина 18'!E33+'Калинина 23'!E33+'Пионерская 9'!E33+'Высокая 4'!E33+'Пухова 15'!E33+#REF!+#REF!+'Пухова 17'!E33+'Калинина 4'!E33+'Пионерская 18'!E33+'Чичерина 12 к.1'!E33+'Телевизионная 6 к.1'!E33+#REF!+'Пионерская 2'!E33+'Телевизионная 2 к.1'!E33+'Чичерина 16'!E33+'Чичерина 22'!E33+#REF!+'Ленина 68,8'!E34+'Ленина 67'!E33+'Огарева 20'!E32+'Пролетарская 40'!E32+'Чижевского 4'!E33</f>
        <v>#REF!</v>
      </c>
      <c r="F32" s="10" t="e">
        <f>'Телевизионная 2а'!F32+'Пионерская 16'!F30+'Пионерская 1318'!F32+'Багговута 12'!#REF!+'Пионерская 15'!F32+'Социалистическая 3'!F33+'Социалистическая 4'!F33+'Социалистическая 6'!F33+'Социалистическая 6 к.1'!F33+'Социалистическая 9'!F33+'Социалистическая 12'!F33+'Телевизионная 2'!F33+'Телевизионная 4'!F33+'Чичерина 7а'!F33+'Чичерина 8'!F33+#REF!+'Чичерина 16 к. 1'!F33+'пер.Чичерина 24'!F32+'пер. Чичерина 28'!F33+'Калинина 12'!F33+'Калинина 18'!F33+'Калинина 23'!F33+'Пионерская 9'!F33+'Высокая 4'!F33+'Пухова 15'!F33+#REF!+#REF!+'Пухова 17'!F33+'Калинина 4'!F33+'Пионерская 18'!F33+'Чичерина 12 к.1'!F33+'Телевизионная 6 к.1'!F33+#REF!+'Пионерская 2'!F33+'Телевизионная 2 к.1'!F33+'Чичерина 16'!F33+'Чичерина 22'!F33+#REF!+'Ленина 68,8'!F34+'Ленина 67'!F33+'Огарева 20'!F32+'Пролетарская 40'!F32+'Чижевского 4'!F33</f>
        <v>#REF!</v>
      </c>
      <c r="G32" s="10" t="e">
        <f>'Телевизионная 2а'!G32+'Пионерская 16'!G30+'Пионерская 1318'!G32+'Багговута 12'!#REF!+'Пионерская 15'!G32+'Социалистическая 3'!G33+'Социалистическая 4'!G33+'Социалистическая 6'!G33+'Социалистическая 6 к.1'!G33+'Социалистическая 9'!G33+'Социалистическая 12'!G33+'Телевизионная 2'!G33+'Телевизионная 4'!G33+'Чичерина 7а'!G33+'Чичерина 8'!G33+#REF!+'Чичерина 16 к. 1'!G33+'пер.Чичерина 24'!G32+'пер. Чичерина 28'!G33+'Калинина 12'!G33+'Калинина 18'!G33+'Калинина 23'!G33+'Пионерская 9'!G33+'Высокая 4'!G33+'Пухова 15'!G33+#REF!+#REF!+'Пухова 17'!G33+'Калинина 4'!G33+'Пионерская 18'!G33+'Чичерина 12 к.1'!G33+'Телевизионная 6 к.1'!G33+#REF!+'Пионерская 2'!G33+'Телевизионная 2 к.1'!G33+'Чичерина 16'!G33+'Чичерина 22'!G33+#REF!+'Ленина 68,8'!G34+'Ленина 67'!G33+'Огарева 20'!G32+'Пролетарская 40'!G32+'Чижевского 4'!G33</f>
        <v>#REF!</v>
      </c>
    </row>
    <row r="33" spans="1:10" s="20" customFormat="1" ht="13.5">
      <c r="A33" s="337" t="s">
        <v>107</v>
      </c>
      <c r="B33" s="338"/>
      <c r="C33" s="339"/>
      <c r="D33" s="19" t="e">
        <f aca="true" t="shared" si="0" ref="D33:J33">D18+D23+D24+D25+D28</f>
        <v>#REF!</v>
      </c>
      <c r="E33" s="19" t="e">
        <f t="shared" si="0"/>
        <v>#REF!</v>
      </c>
      <c r="F33" s="19" t="e">
        <f t="shared" si="0"/>
        <v>#REF!</v>
      </c>
      <c r="G33" s="19" t="e">
        <f t="shared" si="0"/>
        <v>#REF!</v>
      </c>
      <c r="H33" s="19">
        <f t="shared" si="0"/>
        <v>6.75</v>
      </c>
      <c r="I33" s="19">
        <f t="shared" si="0"/>
        <v>0</v>
      </c>
      <c r="J33" s="19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102</v>
      </c>
    </row>
    <row r="36" s="3" customFormat="1" ht="15"/>
    <row r="37" s="3" customFormat="1" ht="15"/>
    <row r="38" s="3" customFormat="1" ht="15">
      <c r="G38" s="4" t="s">
        <v>109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4" t="s">
        <v>51</v>
      </c>
      <c r="E42" s="14"/>
      <c r="F42" s="14"/>
      <c r="G42" s="14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F43" sqref="F43:G43"/>
    </sheetView>
  </sheetViews>
  <sheetFormatPr defaultColWidth="9.140625" defaultRowHeight="15" outlineLevelCol="1"/>
  <cols>
    <col min="1" max="1" width="5.00390625" style="1" customWidth="1"/>
    <col min="2" max="2" width="41.7109375" style="1" customWidth="1"/>
    <col min="3" max="3" width="12.8515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 t="s">
        <v>151</v>
      </c>
    </row>
    <row r="8" spans="1:6" s="3" customFormat="1" ht="15">
      <c r="A8" s="3" t="s">
        <v>3</v>
      </c>
      <c r="F8" s="4" t="s">
        <v>190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5.75" thickBot="1">
      <c r="A13" s="265" t="s">
        <v>294</v>
      </c>
      <c r="B13" s="266"/>
      <c r="C13" s="266"/>
      <c r="D13" s="73">
        <v>485395.43</v>
      </c>
      <c r="E13" s="39"/>
      <c r="F13" s="39"/>
      <c r="G13" s="39"/>
      <c r="H13" s="40"/>
      <c r="I13" s="40"/>
    </row>
    <row r="14" spans="1:9" s="15" customFormat="1" ht="10.5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73">
        <v>-105022.04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73">
        <v>-65558.87</v>
      </c>
      <c r="H16" s="40"/>
      <c r="I16" s="40"/>
    </row>
    <row r="17" s="3" customFormat="1" ht="8.2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9" s="3" customFormat="1" ht="29.25">
      <c r="A19" s="163" t="s">
        <v>14</v>
      </c>
      <c r="B19" s="129" t="s">
        <v>15</v>
      </c>
      <c r="C19" s="223">
        <f>C20+C21+C22+C23</f>
        <v>9.350000000000001</v>
      </c>
      <c r="D19" s="146">
        <v>437128.08</v>
      </c>
      <c r="E19" s="146">
        <f>216.17+517330.7</f>
        <v>517546.87</v>
      </c>
      <c r="F19" s="146">
        <f aca="true" t="shared" si="0" ref="F19:F26">D19</f>
        <v>437128.08</v>
      </c>
      <c r="G19" s="147">
        <f>E19-D19</f>
        <v>80418.78999999998</v>
      </c>
      <c r="H19" s="70">
        <f>C19</f>
        <v>9.350000000000001</v>
      </c>
      <c r="I19" s="165"/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150540.36551871657</v>
      </c>
      <c r="E20" s="67">
        <f>E19*I20</f>
        <v>178235.39266310158</v>
      </c>
      <c r="F20" s="67">
        <f t="shared" si="0"/>
        <v>150540.36551871657</v>
      </c>
      <c r="G20" s="68">
        <f aca="true" t="shared" si="1" ref="G20:G28">E20-D20</f>
        <v>27695.027144385007</v>
      </c>
      <c r="H20" s="70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71530.04945454544</v>
      </c>
      <c r="E21" s="67">
        <f>E19*I21</f>
        <v>84689.4878181818</v>
      </c>
      <c r="F21" s="67">
        <f t="shared" si="0"/>
        <v>71530.04945454544</v>
      </c>
      <c r="G21" s="68">
        <f t="shared" si="1"/>
        <v>13159.438363636364</v>
      </c>
      <c r="H21" s="70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88360.6493262032</v>
      </c>
      <c r="E22" s="67">
        <f>E19*I22</f>
        <v>104616.42612834224</v>
      </c>
      <c r="F22" s="67">
        <f t="shared" si="0"/>
        <v>88360.6493262032</v>
      </c>
      <c r="G22" s="68">
        <f t="shared" si="1"/>
        <v>16255.776802139037</v>
      </c>
      <c r="H22" s="70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126697.01570053474</v>
      </c>
      <c r="E23" s="67">
        <f>E19*I23</f>
        <v>150005.5633903743</v>
      </c>
      <c r="F23" s="67">
        <f t="shared" si="0"/>
        <v>126697.01570053474</v>
      </c>
      <c r="G23" s="68">
        <f t="shared" si="1"/>
        <v>23308.547689839557</v>
      </c>
      <c r="H23" s="70">
        <f>C23</f>
        <v>2.71</v>
      </c>
      <c r="I23" s="15">
        <f>H23/H19</f>
        <v>0.28983957219251333</v>
      </c>
    </row>
    <row r="24" spans="1:9" ht="15">
      <c r="A24" s="129" t="s">
        <v>25</v>
      </c>
      <c r="B24" s="129" t="s">
        <v>26</v>
      </c>
      <c r="C24" s="152">
        <v>3.58</v>
      </c>
      <c r="D24" s="147">
        <v>166350.46</v>
      </c>
      <c r="E24" s="147">
        <v>163894.55</v>
      </c>
      <c r="F24" s="146">
        <f t="shared" si="0"/>
        <v>166350.46</v>
      </c>
      <c r="G24" s="147">
        <f t="shared" si="1"/>
        <v>-2455.9100000000035</v>
      </c>
      <c r="H24" s="162"/>
      <c r="I24" s="162"/>
    </row>
    <row r="25" spans="1:9" ht="15">
      <c r="A25" s="129" t="s">
        <v>27</v>
      </c>
      <c r="B25" s="129" t="s">
        <v>28</v>
      </c>
      <c r="C25" s="152">
        <v>0</v>
      </c>
      <c r="D25" s="147">
        <v>0</v>
      </c>
      <c r="E25" s="147">
        <v>3408.16</v>
      </c>
      <c r="F25" s="147">
        <f t="shared" si="0"/>
        <v>0</v>
      </c>
      <c r="G25" s="147">
        <f t="shared" si="1"/>
        <v>3408.16</v>
      </c>
      <c r="H25" s="162"/>
      <c r="I25" s="162"/>
    </row>
    <row r="26" spans="1:9" ht="15">
      <c r="A26" s="129" t="s">
        <v>29</v>
      </c>
      <c r="B26" s="129" t="s">
        <v>249</v>
      </c>
      <c r="C26" s="152">
        <v>1.04</v>
      </c>
      <c r="D26" s="147">
        <v>48664.08</v>
      </c>
      <c r="E26" s="147">
        <v>47417.27</v>
      </c>
      <c r="F26" s="147">
        <f t="shared" si="0"/>
        <v>48664.08</v>
      </c>
      <c r="G26" s="147">
        <f t="shared" si="1"/>
        <v>-1246.810000000005</v>
      </c>
      <c r="H26" s="162"/>
      <c r="I26" s="162"/>
    </row>
    <row r="27" spans="1:13" ht="15">
      <c r="A27" s="129" t="s">
        <v>31</v>
      </c>
      <c r="B27" s="129" t="s">
        <v>131</v>
      </c>
      <c r="C27" s="152">
        <v>1.92</v>
      </c>
      <c r="D27" s="147">
        <v>89704.44</v>
      </c>
      <c r="E27" s="147">
        <v>87655.69</v>
      </c>
      <c r="F27" s="153">
        <f>F42</f>
        <v>116436.5769</v>
      </c>
      <c r="G27" s="147">
        <f t="shared" si="1"/>
        <v>-2048.75</v>
      </c>
      <c r="H27" s="162"/>
      <c r="I27" s="162"/>
      <c r="M27" s="77"/>
    </row>
    <row r="28" spans="1:9" ht="15">
      <c r="A28" s="185">
        <v>6</v>
      </c>
      <c r="B28" s="191" t="s">
        <v>230</v>
      </c>
      <c r="C28" s="215">
        <v>1832.48</v>
      </c>
      <c r="D28" s="147">
        <v>12442.69</v>
      </c>
      <c r="E28" s="147">
        <v>12348.61</v>
      </c>
      <c r="F28" s="153">
        <f>D28</f>
        <v>12442.69</v>
      </c>
      <c r="G28" s="147">
        <f t="shared" si="1"/>
        <v>-94.07999999999993</v>
      </c>
      <c r="H28" s="162"/>
      <c r="I28" s="162"/>
    </row>
    <row r="29" spans="1:9" ht="15">
      <c r="A29" s="185">
        <f>A28+1</f>
        <v>7</v>
      </c>
      <c r="B29" s="129" t="s">
        <v>36</v>
      </c>
      <c r="C29" s="215"/>
      <c r="D29" s="147">
        <f>SUM(D30:D33)</f>
        <v>1978437.96</v>
      </c>
      <c r="E29" s="147">
        <f>SUM(E30:E33)</f>
        <v>1913399.2799999998</v>
      </c>
      <c r="F29" s="147">
        <f>SUM(F30:F33)</f>
        <v>1978437.96</v>
      </c>
      <c r="G29" s="147">
        <f>SUM(G30:G33)</f>
        <v>-65038.68000000001</v>
      </c>
      <c r="H29" s="162"/>
      <c r="I29" s="162"/>
    </row>
    <row r="30" spans="1:7" ht="15">
      <c r="A30" s="98" t="s">
        <v>37</v>
      </c>
      <c r="B30" s="9" t="s">
        <v>106</v>
      </c>
      <c r="C30" s="134" t="s">
        <v>315</v>
      </c>
      <c r="D30" s="68">
        <v>74540.34</v>
      </c>
      <c r="E30" s="68">
        <v>73832.79</v>
      </c>
      <c r="F30" s="68">
        <f>D30</f>
        <v>74540.34</v>
      </c>
      <c r="G30" s="68">
        <f>E30-D30</f>
        <v>-707.5500000000029</v>
      </c>
    </row>
    <row r="31" spans="1:7" ht="15">
      <c r="A31" s="98" t="s">
        <v>39</v>
      </c>
      <c r="B31" s="9" t="s">
        <v>168</v>
      </c>
      <c r="C31" s="134" t="s">
        <v>314</v>
      </c>
      <c r="D31" s="68">
        <v>334255.62</v>
      </c>
      <c r="E31" s="68">
        <v>312408.25</v>
      </c>
      <c r="F31" s="68">
        <f>D31</f>
        <v>334255.62</v>
      </c>
      <c r="G31" s="68">
        <f>E31-D31</f>
        <v>-21847.369999999995</v>
      </c>
    </row>
    <row r="32" spans="1:7" ht="15">
      <c r="A32" s="98" t="s">
        <v>42</v>
      </c>
      <c r="B32" s="9" t="s">
        <v>170</v>
      </c>
      <c r="C32" s="182" t="s">
        <v>346</v>
      </c>
      <c r="D32" s="68">
        <v>524186.97</v>
      </c>
      <c r="E32" s="68">
        <v>482475.11</v>
      </c>
      <c r="F32" s="68">
        <f>D32</f>
        <v>524186.97</v>
      </c>
      <c r="G32" s="68">
        <f>E32-D32</f>
        <v>-41711.859999999986</v>
      </c>
    </row>
    <row r="33" spans="1:7" ht="15.75" thickBot="1">
      <c r="A33" s="98" t="s">
        <v>41</v>
      </c>
      <c r="B33" s="9" t="s">
        <v>43</v>
      </c>
      <c r="C33" s="134" t="s">
        <v>316</v>
      </c>
      <c r="D33" s="68">
        <v>1045455.03</v>
      </c>
      <c r="E33" s="68">
        <v>1044683.13</v>
      </c>
      <c r="F33" s="68">
        <f>D33</f>
        <v>1045455.03</v>
      </c>
      <c r="G33" s="68">
        <f>E33-D33</f>
        <v>-771.9000000000233</v>
      </c>
    </row>
    <row r="34" spans="1:10" s="20" customFormat="1" ht="14.25" thickBot="1">
      <c r="A34" s="265" t="s">
        <v>299</v>
      </c>
      <c r="B34" s="266"/>
      <c r="C34" s="266"/>
      <c r="D34" s="73">
        <f>D13+D19+D24+D25+D26+D27+D28+D29-E19-E24-E25-E26-E27-E28-E29</f>
        <v>472452.70999999996</v>
      </c>
      <c r="E34" s="39"/>
      <c r="F34" s="39"/>
      <c r="G34" s="39"/>
      <c r="H34" s="40"/>
      <c r="I34" s="40"/>
      <c r="J34" s="22"/>
    </row>
    <row r="35" spans="1:9" s="15" customFormat="1" ht="10.5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G15</f>
        <v>-105022.04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G16+E27-F27</f>
        <v>-94339.7569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s="15" customFormat="1" ht="30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10.5" customHeight="1"/>
    <row r="41" spans="1:9" ht="28.5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  <c r="H41" s="7"/>
      <c r="I41" s="7"/>
    </row>
    <row r="42" spans="1:9" s="7" customFormat="1" ht="15">
      <c r="A42" s="11" t="s">
        <v>47</v>
      </c>
      <c r="B42" s="287" t="s">
        <v>126</v>
      </c>
      <c r="C42" s="288"/>
      <c r="D42" s="157"/>
      <c r="E42" s="157"/>
      <c r="F42" s="295">
        <f>SUM(F43:L52)</f>
        <v>116436.5769</v>
      </c>
      <c r="G42" s="291"/>
      <c r="H42" s="12"/>
      <c r="I42" s="12"/>
    </row>
    <row r="43" spans="1:9" s="12" customFormat="1" ht="15" customHeight="1">
      <c r="A43" s="9" t="s">
        <v>16</v>
      </c>
      <c r="B43" s="271" t="s">
        <v>524</v>
      </c>
      <c r="C43" s="273"/>
      <c r="D43" s="158" t="s">
        <v>416</v>
      </c>
      <c r="E43" s="158">
        <v>0.05</v>
      </c>
      <c r="F43" s="308">
        <v>3529.14</v>
      </c>
      <c r="G43" s="309"/>
      <c r="H43" s="1"/>
      <c r="I43" s="1"/>
    </row>
    <row r="44" spans="1:7" ht="15" customHeight="1">
      <c r="A44" s="9" t="s">
        <v>18</v>
      </c>
      <c r="B44" s="271" t="s">
        <v>525</v>
      </c>
      <c r="C44" s="273"/>
      <c r="D44" s="158" t="s">
        <v>416</v>
      </c>
      <c r="E44" s="158">
        <v>0.06</v>
      </c>
      <c r="F44" s="294">
        <v>16687.31</v>
      </c>
      <c r="G44" s="294"/>
    </row>
    <row r="45" spans="1:7" ht="15" customHeight="1">
      <c r="A45" s="9" t="s">
        <v>20</v>
      </c>
      <c r="B45" s="271" t="s">
        <v>528</v>
      </c>
      <c r="C45" s="273"/>
      <c r="D45" s="158" t="s">
        <v>416</v>
      </c>
      <c r="E45" s="158">
        <v>0.03</v>
      </c>
      <c r="F45" s="294">
        <v>16032.31</v>
      </c>
      <c r="G45" s="294"/>
    </row>
    <row r="46" spans="1:7" ht="15" customHeight="1">
      <c r="A46" s="9" t="s">
        <v>22</v>
      </c>
      <c r="B46" s="271" t="s">
        <v>529</v>
      </c>
      <c r="C46" s="273"/>
      <c r="D46" s="158" t="s">
        <v>239</v>
      </c>
      <c r="E46" s="158">
        <v>600</v>
      </c>
      <c r="F46" s="294">
        <v>13132.8</v>
      </c>
      <c r="G46" s="294"/>
    </row>
    <row r="47" spans="1:7" ht="15" customHeight="1">
      <c r="A47" s="9" t="s">
        <v>24</v>
      </c>
      <c r="B47" s="271" t="s">
        <v>530</v>
      </c>
      <c r="C47" s="273"/>
      <c r="D47" s="158" t="s">
        <v>410</v>
      </c>
      <c r="E47" s="158">
        <v>0.01</v>
      </c>
      <c r="F47" s="294">
        <v>310.76</v>
      </c>
      <c r="G47" s="294"/>
    </row>
    <row r="48" spans="1:7" ht="15" customHeight="1">
      <c r="A48" s="9" t="s">
        <v>116</v>
      </c>
      <c r="B48" s="271" t="s">
        <v>531</v>
      </c>
      <c r="C48" s="273"/>
      <c r="D48" s="158" t="s">
        <v>416</v>
      </c>
      <c r="E48" s="158">
        <v>0.02</v>
      </c>
      <c r="F48" s="294">
        <v>2190.61</v>
      </c>
      <c r="G48" s="294"/>
    </row>
    <row r="49" spans="1:7" ht="15" customHeight="1">
      <c r="A49" s="9" t="s">
        <v>117</v>
      </c>
      <c r="B49" s="271" t="s">
        <v>532</v>
      </c>
      <c r="C49" s="273"/>
      <c r="D49" s="158" t="s">
        <v>410</v>
      </c>
      <c r="E49" s="158">
        <v>0.04</v>
      </c>
      <c r="F49" s="294">
        <v>1831.47</v>
      </c>
      <c r="G49" s="294"/>
    </row>
    <row r="50" spans="1:7" ht="15" customHeight="1">
      <c r="A50" s="9" t="s">
        <v>132</v>
      </c>
      <c r="B50" s="271" t="s">
        <v>533</v>
      </c>
      <c r="C50" s="273"/>
      <c r="D50" s="158" t="s">
        <v>416</v>
      </c>
      <c r="E50" s="158">
        <v>0.02</v>
      </c>
      <c r="F50" s="294">
        <v>1845.62</v>
      </c>
      <c r="G50" s="294"/>
    </row>
    <row r="51" spans="1:7" ht="15" customHeight="1">
      <c r="A51" s="9" t="s">
        <v>133</v>
      </c>
      <c r="B51" s="213" t="s">
        <v>717</v>
      </c>
      <c r="C51" s="214"/>
      <c r="D51" s="158" t="s">
        <v>234</v>
      </c>
      <c r="E51" s="158">
        <v>2</v>
      </c>
      <c r="F51" s="308">
        <v>60000</v>
      </c>
      <c r="G51" s="309"/>
    </row>
    <row r="52" spans="1:7" s="3" customFormat="1" ht="30">
      <c r="A52" s="9" t="s">
        <v>134</v>
      </c>
      <c r="B52" s="131" t="s">
        <v>286</v>
      </c>
      <c r="C52" s="132"/>
      <c r="D52" s="158"/>
      <c r="E52" s="158"/>
      <c r="F52" s="294">
        <f>E27*1%</f>
        <v>876.5569</v>
      </c>
      <c r="G52" s="294"/>
    </row>
    <row r="53" spans="8:9" s="3" customFormat="1" ht="15">
      <c r="H53" s="1"/>
      <c r="I53" s="1"/>
    </row>
    <row r="54" spans="1:9" s="3" customFormat="1" ht="15">
      <c r="A54" s="3" t="s">
        <v>55</v>
      </c>
      <c r="C54" s="3" t="s">
        <v>49</v>
      </c>
      <c r="F54" s="3" t="s">
        <v>102</v>
      </c>
      <c r="H54" s="1"/>
      <c r="I54" s="1"/>
    </row>
    <row r="55" spans="6:9" s="3" customFormat="1" ht="15">
      <c r="F55" s="4" t="s">
        <v>303</v>
      </c>
      <c r="H55" s="1"/>
      <c r="I55" s="1"/>
    </row>
    <row r="56" spans="1:7" ht="15">
      <c r="A56" s="3" t="s">
        <v>50</v>
      </c>
      <c r="B56" s="3"/>
      <c r="C56" s="3"/>
      <c r="D56" s="3"/>
      <c r="E56" s="3"/>
      <c r="F56" s="3"/>
      <c r="G56" s="3"/>
    </row>
    <row r="57" spans="1:7" ht="15">
      <c r="A57" s="3"/>
      <c r="B57" s="3"/>
      <c r="C57" s="14" t="s">
        <v>51</v>
      </c>
      <c r="D57" s="3"/>
      <c r="E57" s="14"/>
      <c r="F57" s="14"/>
      <c r="G57" s="14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sheetProtection/>
  <mergeCells count="32">
    <mergeCell ref="B49:C49"/>
    <mergeCell ref="F49:G49"/>
    <mergeCell ref="B50:C50"/>
    <mergeCell ref="F50:G50"/>
    <mergeCell ref="F51:G51"/>
    <mergeCell ref="F45:G45"/>
    <mergeCell ref="B48:C48"/>
    <mergeCell ref="F48:G48"/>
    <mergeCell ref="B46:C46"/>
    <mergeCell ref="F46:G46"/>
    <mergeCell ref="B47:C47"/>
    <mergeCell ref="F47:G47"/>
    <mergeCell ref="A39:I39"/>
    <mergeCell ref="F52:G52"/>
    <mergeCell ref="F44:G44"/>
    <mergeCell ref="F43:G43"/>
    <mergeCell ref="F42:G42"/>
    <mergeCell ref="B45:C45"/>
    <mergeCell ref="B41:C41"/>
    <mergeCell ref="F41:G41"/>
    <mergeCell ref="B43:C43"/>
    <mergeCell ref="B44:C44"/>
    <mergeCell ref="A1:I1"/>
    <mergeCell ref="A2:I2"/>
    <mergeCell ref="A3:K3"/>
    <mergeCell ref="A5:I5"/>
    <mergeCell ref="A10:I10"/>
    <mergeCell ref="B42:C42"/>
    <mergeCell ref="A34:C34"/>
    <mergeCell ref="A11:I11"/>
    <mergeCell ref="A12:I12"/>
    <mergeCell ref="A13:C1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G25" sqref="G25"/>
    </sheetView>
  </sheetViews>
  <sheetFormatPr defaultColWidth="9.140625" defaultRowHeight="15" outlineLevelCol="1"/>
  <cols>
    <col min="1" max="1" width="5.00390625" style="1" customWidth="1"/>
    <col min="2" max="2" width="46.140625" style="1" customWidth="1"/>
    <col min="3" max="3" width="13.421875" style="1" customWidth="1"/>
    <col min="4" max="4" width="11.28125" style="1" customWidth="1"/>
    <col min="5" max="5" width="15.140625" style="1" customWidth="1"/>
    <col min="6" max="6" width="14.57421875" style="1" customWidth="1"/>
    <col min="7" max="7" width="15.00390625" style="1" customWidth="1"/>
    <col min="8" max="8" width="14.421875" style="1" customWidth="1"/>
    <col min="9" max="9" width="13.421875" style="1" customWidth="1"/>
    <col min="10" max="10" width="10.8515625" style="1" hidden="1" customWidth="1" outlineLevel="1"/>
    <col min="11" max="11" width="13.421875" style="1" hidden="1" customWidth="1" outlineLevel="1"/>
    <col min="12" max="14" width="9.140625" style="1" hidden="1" customWidth="1" outlineLevel="1"/>
    <col min="15" max="15" width="14.28125" style="1" bestFit="1" customWidth="1" collapsed="1"/>
    <col min="16" max="16" width="12.00390625" style="1" customWidth="1"/>
    <col min="17" max="17" width="10.140625" style="1" bestFit="1" customWidth="1"/>
    <col min="18" max="18" width="11.421875" style="1" bestFit="1" customWidth="1"/>
    <col min="19" max="20" width="11.57421875" style="1" bestFit="1" customWidth="1"/>
    <col min="21" max="21" width="10.421875" style="1" bestFit="1" customWidth="1"/>
    <col min="22" max="22" width="11.421875" style="1" bestFit="1" customWidth="1"/>
    <col min="23" max="16384" width="9.140625" style="1" customWidth="1"/>
  </cols>
  <sheetData>
    <row r="1" spans="1:11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3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7" spans="1:8" s="3" customFormat="1" ht="15">
      <c r="A7" s="3" t="s">
        <v>2</v>
      </c>
      <c r="G7" s="4" t="s">
        <v>157</v>
      </c>
      <c r="H7" s="4"/>
    </row>
    <row r="8" spans="1:8" s="3" customFormat="1" ht="15">
      <c r="A8" s="3" t="s">
        <v>3</v>
      </c>
      <c r="G8" s="4" t="s">
        <v>158</v>
      </c>
      <c r="H8" s="4"/>
    </row>
    <row r="9" s="3" customFormat="1" ht="15">
      <c r="H9" s="15"/>
    </row>
    <row r="10" spans="1:11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s="15" customFormat="1" ht="15.75" thickBot="1">
      <c r="A13" s="265" t="s">
        <v>294</v>
      </c>
      <c r="B13" s="266"/>
      <c r="C13" s="266"/>
      <c r="D13" s="43"/>
      <c r="E13" s="73">
        <v>566640.92</v>
      </c>
      <c r="F13" s="39"/>
      <c r="G13" s="39"/>
      <c r="H13" s="39"/>
      <c r="I13" s="39"/>
      <c r="J13" s="40"/>
      <c r="K13" s="40"/>
    </row>
    <row r="14" spans="1:11" s="15" customFormat="1" ht="10.5" customHeight="1" thickBot="1">
      <c r="A14" s="41"/>
      <c r="B14" s="41"/>
      <c r="C14" s="41"/>
      <c r="D14" s="41"/>
      <c r="E14" s="42"/>
      <c r="F14" s="39"/>
      <c r="G14" s="39"/>
      <c r="H14" s="39"/>
      <c r="I14" s="39"/>
      <c r="J14" s="40"/>
      <c r="K14" s="40"/>
    </row>
    <row r="15" spans="1:11" s="15" customFormat="1" ht="15.75" thickBot="1">
      <c r="A15" s="87" t="s">
        <v>229</v>
      </c>
      <c r="B15" s="43"/>
      <c r="C15" s="43"/>
      <c r="D15" s="43"/>
      <c r="E15" s="44"/>
      <c r="F15" s="45"/>
      <c r="G15" s="45"/>
      <c r="H15" s="45"/>
      <c r="I15" s="73">
        <v>200962.5</v>
      </c>
      <c r="J15" s="40"/>
      <c r="K15" s="40"/>
    </row>
    <row r="16" s="3" customFormat="1" ht="15"/>
    <row r="17" spans="1:9" s="18" customFormat="1" ht="38.25">
      <c r="A17" s="6" t="s">
        <v>11</v>
      </c>
      <c r="B17" s="6" t="s">
        <v>12</v>
      </c>
      <c r="C17" s="6" t="s">
        <v>103</v>
      </c>
      <c r="D17" s="115" t="s">
        <v>309</v>
      </c>
      <c r="E17" s="6" t="s">
        <v>310</v>
      </c>
      <c r="F17" s="6" t="s">
        <v>296</v>
      </c>
      <c r="G17" s="17" t="s">
        <v>297</v>
      </c>
      <c r="H17" s="80" t="s">
        <v>311</v>
      </c>
      <c r="I17" s="6" t="s">
        <v>298</v>
      </c>
    </row>
    <row r="18" spans="1:10" s="165" customFormat="1" ht="28.5">
      <c r="A18" s="163" t="s">
        <v>14</v>
      </c>
      <c r="B18" s="129" t="s">
        <v>15</v>
      </c>
      <c r="C18" s="175">
        <f>SUM(C19:C22)</f>
        <v>9.21</v>
      </c>
      <c r="D18" s="175">
        <v>-546561.92</v>
      </c>
      <c r="E18" s="146">
        <v>811039.82</v>
      </c>
      <c r="F18" s="146">
        <v>754707.47</v>
      </c>
      <c r="G18" s="146">
        <f>E18</f>
        <v>811039.82</v>
      </c>
      <c r="H18" s="146">
        <f>D18+F18-G18</f>
        <v>-602894.27</v>
      </c>
      <c r="I18" s="147">
        <f>F18-E18</f>
        <v>-56332.34999999998</v>
      </c>
      <c r="J18" s="70">
        <f>C18</f>
        <v>9.21</v>
      </c>
    </row>
    <row r="19" spans="1:11" s="3" customFormat="1" ht="15">
      <c r="A19" s="8" t="s">
        <v>16</v>
      </c>
      <c r="B19" s="9" t="s">
        <v>17</v>
      </c>
      <c r="C19" s="139">
        <v>3.22</v>
      </c>
      <c r="D19" s="92">
        <v>-183781.9527870048</v>
      </c>
      <c r="E19" s="81">
        <f>E18*K19</f>
        <v>283555.7242562432</v>
      </c>
      <c r="F19" s="81">
        <f>F18*K19</f>
        <v>263860.80927252985</v>
      </c>
      <c r="G19" s="81">
        <f aca="true" t="shared" si="0" ref="G19:G24">E19</f>
        <v>283555.7242562432</v>
      </c>
      <c r="H19" s="81">
        <f aca="true" t="shared" si="1" ref="H19:H33">D19+F19-G19</f>
        <v>-203476.86777071815</v>
      </c>
      <c r="I19" s="76">
        <f aca="true" t="shared" si="2" ref="I19:I27">F19-E19</f>
        <v>-19694.91498371336</v>
      </c>
      <c r="J19" s="70">
        <f>C19</f>
        <v>3.22</v>
      </c>
      <c r="K19" s="3">
        <f>J19/J18</f>
        <v>0.3496199782844734</v>
      </c>
    </row>
    <row r="20" spans="1:11" s="3" customFormat="1" ht="15">
      <c r="A20" s="8" t="s">
        <v>18</v>
      </c>
      <c r="B20" s="9" t="s">
        <v>19</v>
      </c>
      <c r="C20" s="139">
        <v>1.53</v>
      </c>
      <c r="D20" s="92">
        <v>-91847.25715773366</v>
      </c>
      <c r="E20" s="81">
        <f>E18*K20</f>
        <v>134732.99941368078</v>
      </c>
      <c r="F20" s="81">
        <f>F18*K20</f>
        <v>125374.85657980455</v>
      </c>
      <c r="G20" s="81">
        <f t="shared" si="0"/>
        <v>134732.99941368078</v>
      </c>
      <c r="H20" s="81">
        <f t="shared" si="1"/>
        <v>-101205.3999916099</v>
      </c>
      <c r="I20" s="76">
        <f t="shared" si="2"/>
        <v>-9358.142833876234</v>
      </c>
      <c r="J20" s="70">
        <f>C20</f>
        <v>1.53</v>
      </c>
      <c r="K20" s="3">
        <f>J20/J18</f>
        <v>0.16612377850162866</v>
      </c>
    </row>
    <row r="21" spans="1:11" s="3" customFormat="1" ht="15">
      <c r="A21" s="8" t="s">
        <v>20</v>
      </c>
      <c r="B21" s="9" t="s">
        <v>21</v>
      </c>
      <c r="C21" s="139">
        <f>0.5+0.47+0.3+0.3+0.18</f>
        <v>1.75</v>
      </c>
      <c r="D21" s="92">
        <v>-106527.09217809433</v>
      </c>
      <c r="E21" s="81">
        <f>E18*K21</f>
        <v>154106.37187839302</v>
      </c>
      <c r="F21" s="81">
        <f>F18*K21</f>
        <v>143402.61373507054</v>
      </c>
      <c r="G21" s="81">
        <f t="shared" si="0"/>
        <v>154106.37187839302</v>
      </c>
      <c r="H21" s="81">
        <f t="shared" si="1"/>
        <v>-117230.85032141682</v>
      </c>
      <c r="I21" s="76">
        <f t="shared" si="2"/>
        <v>-10703.758143322484</v>
      </c>
      <c r="J21" s="70">
        <f>C21</f>
        <v>1.75</v>
      </c>
      <c r="K21" s="3">
        <f>J21/J18</f>
        <v>0.19001085776330073</v>
      </c>
    </row>
    <row r="22" spans="1:11" s="3" customFormat="1" ht="15">
      <c r="A22" s="8" t="s">
        <v>22</v>
      </c>
      <c r="B22" s="9" t="s">
        <v>23</v>
      </c>
      <c r="C22" s="139">
        <v>2.71</v>
      </c>
      <c r="D22" s="92">
        <v>-164405.60787716723</v>
      </c>
      <c r="E22" s="81">
        <f>E18*K22</f>
        <v>238644.7244516829</v>
      </c>
      <c r="F22" s="81">
        <f>F18*K22</f>
        <v>222069.19041259497</v>
      </c>
      <c r="G22" s="81">
        <f t="shared" si="0"/>
        <v>238644.7244516829</v>
      </c>
      <c r="H22" s="81">
        <f t="shared" si="1"/>
        <v>-180981.14191625518</v>
      </c>
      <c r="I22" s="76">
        <f t="shared" si="2"/>
        <v>-16575.534039087943</v>
      </c>
      <c r="J22" s="70">
        <f>C22</f>
        <v>2.71</v>
      </c>
      <c r="K22" s="3">
        <f>J22/J18</f>
        <v>0.29424538545059714</v>
      </c>
    </row>
    <row r="23" spans="1:15" s="162" customFormat="1" ht="14.25">
      <c r="A23" s="129" t="s">
        <v>25</v>
      </c>
      <c r="B23" s="129" t="s">
        <v>26</v>
      </c>
      <c r="C23" s="175">
        <v>3.58</v>
      </c>
      <c r="D23" s="175">
        <v>-42475.51000000001</v>
      </c>
      <c r="E23" s="147">
        <v>308213.11</v>
      </c>
      <c r="F23" s="147">
        <v>301050.11</v>
      </c>
      <c r="G23" s="146">
        <f t="shared" si="0"/>
        <v>308213.11</v>
      </c>
      <c r="H23" s="146">
        <f t="shared" si="1"/>
        <v>-49638.51000000001</v>
      </c>
      <c r="I23" s="147">
        <f t="shared" si="2"/>
        <v>-7163</v>
      </c>
      <c r="O23" s="193"/>
    </row>
    <row r="24" spans="1:9" s="162" customFormat="1" ht="14.25">
      <c r="A24" s="129" t="s">
        <v>27</v>
      </c>
      <c r="B24" s="129" t="s">
        <v>28</v>
      </c>
      <c r="C24" s="175">
        <v>4.6</v>
      </c>
      <c r="D24" s="175">
        <v>-43065.34999999998</v>
      </c>
      <c r="E24" s="147">
        <v>0</v>
      </c>
      <c r="F24" s="147">
        <v>19998.51</v>
      </c>
      <c r="G24" s="147">
        <f t="shared" si="0"/>
        <v>0</v>
      </c>
      <c r="H24" s="146">
        <f t="shared" si="1"/>
        <v>-23066.83999999998</v>
      </c>
      <c r="I24" s="147">
        <f t="shared" si="2"/>
        <v>19998.51</v>
      </c>
    </row>
    <row r="25" spans="1:9" s="162" customFormat="1" ht="28.5">
      <c r="A25" s="129" t="s">
        <v>29</v>
      </c>
      <c r="B25" s="129" t="s">
        <v>714</v>
      </c>
      <c r="C25" s="198">
        <v>120</v>
      </c>
      <c r="D25" s="175">
        <v>5248.989999999991</v>
      </c>
      <c r="E25" s="147">
        <v>113760</v>
      </c>
      <c r="F25" s="147">
        <v>109820.37</v>
      </c>
      <c r="G25" s="147">
        <f>E25</f>
        <v>113760</v>
      </c>
      <c r="H25" s="146">
        <f>D25+F25-G25</f>
        <v>1309.359999999986</v>
      </c>
      <c r="I25" s="147">
        <f>F25-E25</f>
        <v>-3939.6300000000047</v>
      </c>
    </row>
    <row r="26" spans="1:15" s="162" customFormat="1" ht="14.25">
      <c r="A26" s="129" t="s">
        <v>31</v>
      </c>
      <c r="B26" s="129" t="s">
        <v>131</v>
      </c>
      <c r="C26" s="175">
        <v>1.92</v>
      </c>
      <c r="D26" s="175">
        <v>200962.5</v>
      </c>
      <c r="E26" s="147">
        <v>264558.74</v>
      </c>
      <c r="F26" s="147">
        <v>255068.57</v>
      </c>
      <c r="G26" s="153">
        <f>G42</f>
        <v>89168.91570000001</v>
      </c>
      <c r="H26" s="146">
        <f>D26+F26-G26</f>
        <v>366862.1543</v>
      </c>
      <c r="I26" s="147">
        <f t="shared" si="2"/>
        <v>-9490.169999999984</v>
      </c>
      <c r="O26" s="193"/>
    </row>
    <row r="27" spans="1:9" s="162" customFormat="1" ht="14.25">
      <c r="A27" s="129" t="s">
        <v>33</v>
      </c>
      <c r="B27" s="129" t="s">
        <v>230</v>
      </c>
      <c r="C27" s="176">
        <v>1832.48</v>
      </c>
      <c r="D27" s="175">
        <v>-14.010000000000218</v>
      </c>
      <c r="E27" s="147">
        <v>10997.14</v>
      </c>
      <c r="F27" s="147">
        <v>10701.33</v>
      </c>
      <c r="G27" s="153">
        <f>E27</f>
        <v>10997.14</v>
      </c>
      <c r="H27" s="146">
        <f>D27+F27-G27</f>
        <v>-309.8199999999997</v>
      </c>
      <c r="I27" s="147">
        <f t="shared" si="2"/>
        <v>-295.8099999999995</v>
      </c>
    </row>
    <row r="28" spans="1:15" s="162" customFormat="1" ht="14.25">
      <c r="A28" s="129" t="s">
        <v>35</v>
      </c>
      <c r="B28" s="129" t="s">
        <v>36</v>
      </c>
      <c r="C28" s="176"/>
      <c r="D28" s="175">
        <v>106325.22729999945</v>
      </c>
      <c r="E28" s="147">
        <f>E29+E30+E31+E32+E33+E34</f>
        <v>3752402.1396</v>
      </c>
      <c r="F28" s="147">
        <f>F29+F30+F31+F32+F33+F34</f>
        <v>3801004.4616</v>
      </c>
      <c r="G28" s="147">
        <f>E28</f>
        <v>3752402.1396</v>
      </c>
      <c r="H28" s="146">
        <f>D28+F28-G28</f>
        <v>154927.5492999996</v>
      </c>
      <c r="I28" s="147">
        <f>SUM(I29:I34)</f>
        <v>48602.322000000306</v>
      </c>
      <c r="O28" s="193"/>
    </row>
    <row r="29" spans="1:22" s="48" customFormat="1" ht="15">
      <c r="A29" s="9" t="s">
        <v>37</v>
      </c>
      <c r="B29" s="9" t="s">
        <v>604</v>
      </c>
      <c r="C29" s="194" t="s">
        <v>336</v>
      </c>
      <c r="D29" s="92">
        <v>-44174.840000000084</v>
      </c>
      <c r="E29" s="76">
        <v>804397.47</v>
      </c>
      <c r="F29" s="76">
        <v>809747.43</v>
      </c>
      <c r="G29" s="76">
        <f aca="true" t="shared" si="3" ref="G29:G34">E29</f>
        <v>804397.47</v>
      </c>
      <c r="H29" s="81">
        <f t="shared" si="1"/>
        <v>-38824.880000000005</v>
      </c>
      <c r="I29" s="76">
        <f aca="true" t="shared" si="4" ref="I29:I34">F29-E29</f>
        <v>5349.960000000079</v>
      </c>
      <c r="R29" s="1"/>
      <c r="S29" s="1"/>
      <c r="T29" s="1"/>
      <c r="U29" s="246"/>
      <c r="V29" s="246"/>
    </row>
    <row r="30" spans="1:17" ht="15">
      <c r="A30" s="9" t="s">
        <v>39</v>
      </c>
      <c r="B30" s="9" t="s">
        <v>38</v>
      </c>
      <c r="C30" s="182" t="s">
        <v>337</v>
      </c>
      <c r="D30" s="69">
        <v>-18054.8787</v>
      </c>
      <c r="E30" s="68">
        <f>9589.31*27.98-0.2</f>
        <v>268308.69379999995</v>
      </c>
      <c r="F30" s="222">
        <f>9774.01*27.98-0.04</f>
        <v>273476.75980000006</v>
      </c>
      <c r="G30" s="222">
        <f t="shared" si="3"/>
        <v>268308.69379999995</v>
      </c>
      <c r="H30" s="81">
        <f t="shared" si="1"/>
        <v>-12886.812699999893</v>
      </c>
      <c r="I30" s="68">
        <f t="shared" si="4"/>
        <v>5168.066000000108</v>
      </c>
      <c r="O30" s="77"/>
      <c r="P30" s="77"/>
      <c r="Q30" s="77"/>
    </row>
    <row r="31" spans="1:17" ht="15">
      <c r="A31" s="9" t="s">
        <v>42</v>
      </c>
      <c r="B31" s="9" t="s">
        <v>172</v>
      </c>
      <c r="C31" s="194" t="s">
        <v>338</v>
      </c>
      <c r="D31" s="69">
        <v>-13142.070699999982</v>
      </c>
      <c r="E31" s="68">
        <f>9589.31*19.18</f>
        <v>183922.96579999998</v>
      </c>
      <c r="F31" s="222">
        <f>9774.01*19.18</f>
        <v>187465.5118</v>
      </c>
      <c r="G31" s="222">
        <f t="shared" si="3"/>
        <v>183922.96579999998</v>
      </c>
      <c r="H31" s="81">
        <f t="shared" si="1"/>
        <v>-9599.52469999995</v>
      </c>
      <c r="I31" s="68">
        <f>F31-E31</f>
        <v>3542.546000000031</v>
      </c>
      <c r="O31" s="77"/>
      <c r="P31" s="77"/>
      <c r="Q31" s="77"/>
    </row>
    <row r="32" spans="1:17" ht="15">
      <c r="A32" s="9" t="s">
        <v>41</v>
      </c>
      <c r="B32" s="9" t="s">
        <v>174</v>
      </c>
      <c r="C32" s="195" t="s">
        <v>339</v>
      </c>
      <c r="D32" s="69">
        <v>5978.110799999908</v>
      </c>
      <c r="E32" s="96">
        <v>549757.21</v>
      </c>
      <c r="F32" s="68">
        <v>568250.05</v>
      </c>
      <c r="G32" s="68">
        <f t="shared" si="3"/>
        <v>549757.21</v>
      </c>
      <c r="H32" s="81">
        <f t="shared" si="1"/>
        <v>24470.95079999999</v>
      </c>
      <c r="I32" s="68">
        <f t="shared" si="4"/>
        <v>18492.840000000084</v>
      </c>
      <c r="O32" s="112"/>
      <c r="P32" s="77"/>
      <c r="Q32" s="77"/>
    </row>
    <row r="33" spans="1:16" ht="15">
      <c r="A33" s="9" t="s">
        <v>175</v>
      </c>
      <c r="B33" s="9" t="s">
        <v>173</v>
      </c>
      <c r="C33" s="194" t="s">
        <v>338</v>
      </c>
      <c r="D33" s="69">
        <v>815.3258999999962</v>
      </c>
      <c r="E33" s="247">
        <v>70672</v>
      </c>
      <c r="F33" s="222">
        <v>73049.91</v>
      </c>
      <c r="G33" s="222">
        <f t="shared" si="3"/>
        <v>70672</v>
      </c>
      <c r="H33" s="81">
        <f t="shared" si="1"/>
        <v>3193.2358999999997</v>
      </c>
      <c r="I33" s="68">
        <f t="shared" si="4"/>
        <v>2377.9100000000035</v>
      </c>
      <c r="O33" s="77"/>
      <c r="P33" s="77"/>
    </row>
    <row r="34" spans="1:15" ht="15">
      <c r="A34" s="9" t="s">
        <v>176</v>
      </c>
      <c r="B34" s="9" t="s">
        <v>43</v>
      </c>
      <c r="C34" s="195" t="s">
        <v>341</v>
      </c>
      <c r="D34" s="69">
        <v>174903.58000000007</v>
      </c>
      <c r="E34" s="68">
        <v>1875343.8</v>
      </c>
      <c r="F34" s="68">
        <v>1889014.8</v>
      </c>
      <c r="G34" s="68">
        <f t="shared" si="3"/>
        <v>1875343.8</v>
      </c>
      <c r="H34" s="81">
        <f>D34+F34-G34</f>
        <v>188574.58000000007</v>
      </c>
      <c r="I34" s="68">
        <f t="shared" si="4"/>
        <v>13671</v>
      </c>
      <c r="O34" s="77"/>
    </row>
    <row r="35" spans="1:12" s="20" customFormat="1" ht="14.25" thickBot="1">
      <c r="A35" s="78"/>
      <c r="B35" s="21"/>
      <c r="C35" s="21"/>
      <c r="D35" s="21"/>
      <c r="E35" s="22"/>
      <c r="F35" s="22"/>
      <c r="G35" s="22"/>
      <c r="H35" s="82"/>
      <c r="I35" s="22"/>
      <c r="J35" s="22"/>
      <c r="K35" s="22"/>
      <c r="L35" s="22"/>
    </row>
    <row r="36" spans="1:11" s="15" customFormat="1" ht="15.75" thickBot="1">
      <c r="A36" s="265" t="s">
        <v>299</v>
      </c>
      <c r="B36" s="266"/>
      <c r="C36" s="266"/>
      <c r="D36" s="43"/>
      <c r="E36" s="73">
        <f>E13+E18+E23+E24+E25+E26+E27+E28-F18-F23-F24-F25-F26-F27-F28</f>
        <v>575261.0479999995</v>
      </c>
      <c r="F36" s="39"/>
      <c r="G36" s="39"/>
      <c r="H36" s="83"/>
      <c r="I36" s="39"/>
      <c r="J36" s="40"/>
      <c r="K36" s="40"/>
    </row>
    <row r="37" spans="1:11" s="15" customFormat="1" ht="6.75" customHeight="1" thickBot="1">
      <c r="A37" s="41"/>
      <c r="B37" s="41"/>
      <c r="C37" s="41"/>
      <c r="D37" s="41"/>
      <c r="E37" s="42"/>
      <c r="F37" s="39"/>
      <c r="G37" s="39"/>
      <c r="H37" s="83"/>
      <c r="I37" s="39"/>
      <c r="J37" s="40"/>
      <c r="K37" s="40"/>
    </row>
    <row r="38" spans="1:11" s="15" customFormat="1" ht="15.75" thickBot="1">
      <c r="A38" s="87" t="s">
        <v>301</v>
      </c>
      <c r="B38" s="43"/>
      <c r="C38" s="43"/>
      <c r="D38" s="43"/>
      <c r="E38" s="44"/>
      <c r="F38" s="45"/>
      <c r="G38" s="45"/>
      <c r="H38" s="84"/>
      <c r="I38" s="38">
        <f>H26</f>
        <v>366862.1543</v>
      </c>
      <c r="J38" s="40"/>
      <c r="K38" s="40"/>
    </row>
    <row r="39" spans="1:11" ht="15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</row>
    <row r="41" spans="1:9" s="7" customFormat="1" ht="28.5">
      <c r="A41" s="5" t="s">
        <v>11</v>
      </c>
      <c r="B41" s="285" t="s">
        <v>45</v>
      </c>
      <c r="C41" s="344"/>
      <c r="D41" s="286"/>
      <c r="E41" s="5" t="s">
        <v>232</v>
      </c>
      <c r="F41" s="5" t="s">
        <v>231</v>
      </c>
      <c r="G41" s="285" t="s">
        <v>46</v>
      </c>
      <c r="H41" s="344"/>
      <c r="I41" s="291"/>
    </row>
    <row r="42" spans="1:9" s="12" customFormat="1" ht="15">
      <c r="A42" s="11" t="s">
        <v>47</v>
      </c>
      <c r="B42" s="287" t="s">
        <v>126</v>
      </c>
      <c r="C42" s="345"/>
      <c r="D42" s="288"/>
      <c r="E42" s="169"/>
      <c r="F42" s="169"/>
      <c r="G42" s="295">
        <f>SUM(G43:I54)</f>
        <v>89168.91570000001</v>
      </c>
      <c r="H42" s="343"/>
      <c r="I42" s="291"/>
    </row>
    <row r="43" spans="1:9" ht="15">
      <c r="A43" s="9" t="s">
        <v>16</v>
      </c>
      <c r="B43" s="271" t="s">
        <v>605</v>
      </c>
      <c r="C43" s="272"/>
      <c r="D43" s="273"/>
      <c r="E43" s="168" t="s">
        <v>234</v>
      </c>
      <c r="F43" s="168">
        <v>20</v>
      </c>
      <c r="G43" s="294">
        <v>12510.92</v>
      </c>
      <c r="H43" s="294"/>
      <c r="I43" s="294"/>
    </row>
    <row r="44" spans="1:9" ht="15">
      <c r="A44" s="9" t="s">
        <v>18</v>
      </c>
      <c r="B44" s="271" t="s">
        <v>606</v>
      </c>
      <c r="C44" s="272"/>
      <c r="D44" s="273"/>
      <c r="E44" s="168" t="s">
        <v>410</v>
      </c>
      <c r="F44" s="168">
        <v>0.01</v>
      </c>
      <c r="G44" s="294">
        <v>1255.68</v>
      </c>
      <c r="H44" s="294"/>
      <c r="I44" s="294"/>
    </row>
    <row r="45" spans="1:9" ht="15" customHeight="1">
      <c r="A45" s="9" t="s">
        <v>20</v>
      </c>
      <c r="B45" s="271" t="s">
        <v>607</v>
      </c>
      <c r="C45" s="272"/>
      <c r="D45" s="273"/>
      <c r="E45" s="168" t="s">
        <v>410</v>
      </c>
      <c r="F45" s="168">
        <v>0.01</v>
      </c>
      <c r="G45" s="308">
        <v>755.18</v>
      </c>
      <c r="H45" s="342"/>
      <c r="I45" s="309"/>
    </row>
    <row r="46" spans="1:9" ht="15">
      <c r="A46" s="9" t="s">
        <v>22</v>
      </c>
      <c r="B46" s="271" t="s">
        <v>565</v>
      </c>
      <c r="C46" s="272"/>
      <c r="D46" s="273"/>
      <c r="E46" s="168" t="s">
        <v>416</v>
      </c>
      <c r="F46" s="168">
        <v>0.01</v>
      </c>
      <c r="G46" s="294">
        <v>1056.68</v>
      </c>
      <c r="H46" s="294"/>
      <c r="I46" s="294"/>
    </row>
    <row r="47" spans="1:9" ht="15">
      <c r="A47" s="9" t="s">
        <v>24</v>
      </c>
      <c r="B47" s="271" t="s">
        <v>608</v>
      </c>
      <c r="C47" s="272"/>
      <c r="D47" s="273"/>
      <c r="E47" s="168" t="s">
        <v>234</v>
      </c>
      <c r="F47" s="168">
        <v>1</v>
      </c>
      <c r="G47" s="294">
        <v>8607.95</v>
      </c>
      <c r="H47" s="294"/>
      <c r="I47" s="294"/>
    </row>
    <row r="48" spans="1:9" ht="15">
      <c r="A48" s="9" t="s">
        <v>116</v>
      </c>
      <c r="B48" s="271" t="s">
        <v>609</v>
      </c>
      <c r="C48" s="272"/>
      <c r="D48" s="273"/>
      <c r="E48" s="168" t="s">
        <v>416</v>
      </c>
      <c r="F48" s="168">
        <v>0.01</v>
      </c>
      <c r="G48" s="294">
        <v>1789.95</v>
      </c>
      <c r="H48" s="294"/>
      <c r="I48" s="294"/>
    </row>
    <row r="49" spans="1:9" ht="15">
      <c r="A49" s="9" t="s">
        <v>117</v>
      </c>
      <c r="B49" s="271" t="s">
        <v>610</v>
      </c>
      <c r="C49" s="272"/>
      <c r="D49" s="273"/>
      <c r="E49" s="168" t="s">
        <v>416</v>
      </c>
      <c r="F49" s="168">
        <v>0.01</v>
      </c>
      <c r="G49" s="294">
        <v>808.27</v>
      </c>
      <c r="H49" s="294"/>
      <c r="I49" s="294"/>
    </row>
    <row r="50" spans="1:9" ht="15">
      <c r="A50" s="9" t="s">
        <v>132</v>
      </c>
      <c r="B50" s="271" t="s">
        <v>611</v>
      </c>
      <c r="C50" s="272"/>
      <c r="D50" s="273"/>
      <c r="E50" s="168" t="s">
        <v>234</v>
      </c>
      <c r="F50" s="168">
        <v>6</v>
      </c>
      <c r="G50" s="294">
        <v>5833.6</v>
      </c>
      <c r="H50" s="294"/>
      <c r="I50" s="294"/>
    </row>
    <row r="51" spans="1:9" ht="15" customHeight="1">
      <c r="A51" s="9" t="s">
        <v>133</v>
      </c>
      <c r="B51" s="271" t="s">
        <v>612</v>
      </c>
      <c r="C51" s="272"/>
      <c r="D51" s="273"/>
      <c r="E51" s="168"/>
      <c r="F51" s="168"/>
      <c r="G51" s="308">
        <v>14000</v>
      </c>
      <c r="H51" s="342"/>
      <c r="I51" s="309"/>
    </row>
    <row r="52" spans="1:9" ht="13.5" customHeight="1">
      <c r="A52" s="9" t="s">
        <v>134</v>
      </c>
      <c r="B52" s="271" t="s">
        <v>613</v>
      </c>
      <c r="C52" s="272"/>
      <c r="D52" s="273"/>
      <c r="E52" s="168"/>
      <c r="F52" s="168"/>
      <c r="G52" s="308">
        <v>20000</v>
      </c>
      <c r="H52" s="342"/>
      <c r="I52" s="309"/>
    </row>
    <row r="53" spans="1:9" ht="13.5" customHeight="1">
      <c r="A53" s="9" t="s">
        <v>171</v>
      </c>
      <c r="B53" s="271" t="s">
        <v>614</v>
      </c>
      <c r="C53" s="272"/>
      <c r="D53" s="273"/>
      <c r="E53" s="168"/>
      <c r="F53" s="168"/>
      <c r="G53" s="308">
        <v>20000</v>
      </c>
      <c r="H53" s="342"/>
      <c r="I53" s="309"/>
    </row>
    <row r="54" spans="1:9" s="48" customFormat="1" ht="15" customHeight="1">
      <c r="A54" s="9" t="s">
        <v>192</v>
      </c>
      <c r="B54" s="306" t="s">
        <v>286</v>
      </c>
      <c r="C54" s="340"/>
      <c r="D54" s="341"/>
      <c r="E54" s="181"/>
      <c r="F54" s="181"/>
      <c r="G54" s="296">
        <f>F26*1%</f>
        <v>2550.6857</v>
      </c>
      <c r="H54" s="296"/>
      <c r="I54" s="296"/>
    </row>
    <row r="55" spans="1:9" s="48" customFormat="1" ht="15">
      <c r="A55" s="50"/>
      <c r="B55" s="51"/>
      <c r="C55" s="51"/>
      <c r="D55" s="51"/>
      <c r="E55" s="51"/>
      <c r="F55" s="51"/>
      <c r="G55" s="52"/>
      <c r="H55" s="75"/>
      <c r="I55" s="52"/>
    </row>
    <row r="56" s="3" customFormat="1" ht="15">
      <c r="H56" s="15"/>
    </row>
    <row r="57" spans="1:8" s="3" customFormat="1" ht="15">
      <c r="A57" s="3" t="s">
        <v>55</v>
      </c>
      <c r="C57" s="3" t="s">
        <v>49</v>
      </c>
      <c r="G57" s="3" t="s">
        <v>102</v>
      </c>
      <c r="H57" s="15"/>
    </row>
    <row r="58" spans="7:8" s="3" customFormat="1" ht="15">
      <c r="G58" s="4" t="s">
        <v>303</v>
      </c>
      <c r="H58" s="4"/>
    </row>
    <row r="59" spans="1:8" s="3" customFormat="1" ht="15">
      <c r="A59" s="3" t="s">
        <v>50</v>
      </c>
      <c r="H59" s="15"/>
    </row>
    <row r="60" spans="3:9" s="3" customFormat="1" ht="15">
      <c r="C60" s="14" t="s">
        <v>51</v>
      </c>
      <c r="D60" s="14"/>
      <c r="F60" s="14"/>
      <c r="G60" s="14"/>
      <c r="H60" s="85"/>
      <c r="I60" s="14"/>
    </row>
    <row r="61" s="3" customFormat="1" ht="15"/>
    <row r="62" s="3" customFormat="1" ht="15"/>
  </sheetData>
  <sheetProtection/>
  <mergeCells count="38">
    <mergeCell ref="B50:D50"/>
    <mergeCell ref="G46:I46"/>
    <mergeCell ref="B46:D46"/>
    <mergeCell ref="G47:I47"/>
    <mergeCell ref="G48:I48"/>
    <mergeCell ref="G49:I49"/>
    <mergeCell ref="B43:D43"/>
    <mergeCell ref="B44:D44"/>
    <mergeCell ref="B45:D45"/>
    <mergeCell ref="B47:D47"/>
    <mergeCell ref="B48:D48"/>
    <mergeCell ref="B49:D49"/>
    <mergeCell ref="A39:K39"/>
    <mergeCell ref="G42:I42"/>
    <mergeCell ref="G41:I41"/>
    <mergeCell ref="B41:D41"/>
    <mergeCell ref="B42:D42"/>
    <mergeCell ref="B52:D52"/>
    <mergeCell ref="B51:D51"/>
    <mergeCell ref="G43:I43"/>
    <mergeCell ref="G44:I44"/>
    <mergeCell ref="G45:I45"/>
    <mergeCell ref="A11:K11"/>
    <mergeCell ref="A1:K1"/>
    <mergeCell ref="A2:K2"/>
    <mergeCell ref="A3:M3"/>
    <mergeCell ref="A5:K5"/>
    <mergeCell ref="A10:K10"/>
    <mergeCell ref="B54:D54"/>
    <mergeCell ref="B53:D53"/>
    <mergeCell ref="G53:I53"/>
    <mergeCell ref="G54:I54"/>
    <mergeCell ref="A12:K12"/>
    <mergeCell ref="A13:C13"/>
    <mergeCell ref="G52:I52"/>
    <mergeCell ref="G50:I50"/>
    <mergeCell ref="G51:I51"/>
    <mergeCell ref="A36:C36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52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G38" sqref="G38"/>
    </sheetView>
  </sheetViews>
  <sheetFormatPr defaultColWidth="9.140625" defaultRowHeight="15" outlineLevelCol="1"/>
  <cols>
    <col min="1" max="1" width="6.140625" style="1" customWidth="1"/>
    <col min="2" max="2" width="46.00390625" style="1" customWidth="1"/>
    <col min="3" max="3" width="13.5742187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4.7109375" style="1" hidden="1" customWidth="1" outlineLevel="1"/>
    <col min="10" max="10" width="1.421875" style="1" hidden="1" customWidth="1" outlineLevel="1"/>
    <col min="11" max="11" width="4.28125" style="1" hidden="1" customWidth="1" outlineLevel="1"/>
    <col min="12" max="12" width="6.7109375" style="1" hidden="1" customWidth="1" outlineLevel="1"/>
    <col min="13" max="13" width="11.8515625" style="0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 t="s">
        <v>159</v>
      </c>
    </row>
    <row r="8" spans="1:6" s="3" customFormat="1" ht="15">
      <c r="A8" s="3" t="s">
        <v>3</v>
      </c>
      <c r="F8" s="4" t="s">
        <v>160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5.75" thickBot="1">
      <c r="A13" s="265" t="s">
        <v>294</v>
      </c>
      <c r="B13" s="266"/>
      <c r="C13" s="266"/>
      <c r="D13" s="73">
        <v>998776.99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38">
        <v>383001.23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8" s="165" customFormat="1" ht="28.5">
      <c r="A18" s="163" t="s">
        <v>14</v>
      </c>
      <c r="B18" s="129" t="s">
        <v>15</v>
      </c>
      <c r="C18" s="175">
        <f>SUM(C19:C22)</f>
        <v>12.720000000000002</v>
      </c>
      <c r="D18" s="146">
        <f>1487761.08+809660.68</f>
        <v>2297421.7600000002</v>
      </c>
      <c r="E18" s="146">
        <f>756584.14+1392188.04</f>
        <v>2148772.18</v>
      </c>
      <c r="F18" s="146">
        <f aca="true" t="shared" si="0" ref="F18:F25">D18</f>
        <v>2297421.7600000002</v>
      </c>
      <c r="G18" s="147">
        <f>E18-D18</f>
        <v>-148649.58000000007</v>
      </c>
      <c r="H18" s="70">
        <f>C18</f>
        <v>12.720000000000002</v>
      </c>
    </row>
    <row r="19" spans="1:9" s="3" customFormat="1" ht="15">
      <c r="A19" s="8" t="s">
        <v>16</v>
      </c>
      <c r="B19" s="9" t="s">
        <v>17</v>
      </c>
      <c r="C19" s="69">
        <v>3.22</v>
      </c>
      <c r="D19" s="67">
        <f>D18*I19</f>
        <v>581580.0367295597</v>
      </c>
      <c r="E19" s="67">
        <f>E18*I19</f>
        <v>543950.1902201257</v>
      </c>
      <c r="F19" s="67">
        <f t="shared" si="0"/>
        <v>581580.0367295597</v>
      </c>
      <c r="G19" s="68">
        <f aca="true" t="shared" si="1" ref="G19:G27">E19-D19</f>
        <v>-37629.84650943393</v>
      </c>
      <c r="H19" s="70">
        <f>C19</f>
        <v>3.22</v>
      </c>
      <c r="I19" s="15">
        <f>H19/H18</f>
        <v>0.25314465408805026</v>
      </c>
    </row>
    <row r="20" spans="1:9" s="3" customFormat="1" ht="15">
      <c r="A20" s="8" t="s">
        <v>18</v>
      </c>
      <c r="B20" s="9" t="s">
        <v>19</v>
      </c>
      <c r="C20" s="69">
        <v>4.9</v>
      </c>
      <c r="D20" s="67">
        <f>D18*I20</f>
        <v>885013.0993710692</v>
      </c>
      <c r="E20" s="67">
        <f>E18*I20</f>
        <v>827750.2894654088</v>
      </c>
      <c r="F20" s="67">
        <f t="shared" si="0"/>
        <v>885013.0993710692</v>
      </c>
      <c r="G20" s="68">
        <f t="shared" si="1"/>
        <v>-57262.809905660455</v>
      </c>
      <c r="H20" s="70">
        <f>C20</f>
        <v>4.9</v>
      </c>
      <c r="I20" s="15">
        <f>H20/H18</f>
        <v>0.3852201257861635</v>
      </c>
    </row>
    <row r="21" spans="1:9" s="3" customFormat="1" ht="15">
      <c r="A21" s="8" t="s">
        <v>20</v>
      </c>
      <c r="B21" s="9" t="s">
        <v>21</v>
      </c>
      <c r="C21" s="69">
        <v>1.89</v>
      </c>
      <c r="D21" s="67">
        <f>D18*I21</f>
        <v>341362.19547169807</v>
      </c>
      <c r="E21" s="67">
        <f>E18*I21</f>
        <v>319275.11165094335</v>
      </c>
      <c r="F21" s="67">
        <f t="shared" si="0"/>
        <v>341362.19547169807</v>
      </c>
      <c r="G21" s="68">
        <f t="shared" si="1"/>
        <v>-22087.08382075472</v>
      </c>
      <c r="H21" s="70">
        <f>C21</f>
        <v>1.89</v>
      </c>
      <c r="I21" s="15">
        <f>H21/H18</f>
        <v>0.14858490566037733</v>
      </c>
    </row>
    <row r="22" spans="1:9" s="3" customFormat="1" ht="15">
      <c r="A22" s="8" t="s">
        <v>22</v>
      </c>
      <c r="B22" s="9" t="s">
        <v>23</v>
      </c>
      <c r="C22" s="69">
        <v>2.71</v>
      </c>
      <c r="D22" s="67">
        <f>D18*I22</f>
        <v>489466.4284276729</v>
      </c>
      <c r="E22" s="67">
        <f>E18*I22</f>
        <v>457796.5886635219</v>
      </c>
      <c r="F22" s="67">
        <f t="shared" si="0"/>
        <v>489466.4284276729</v>
      </c>
      <c r="G22" s="68">
        <f t="shared" si="1"/>
        <v>-31669.839764150965</v>
      </c>
      <c r="H22" s="70">
        <f>C22</f>
        <v>2.71</v>
      </c>
      <c r="I22" s="15">
        <f>H22/H18</f>
        <v>0.21305031446540876</v>
      </c>
    </row>
    <row r="23" spans="1:13" s="162" customFormat="1" ht="15">
      <c r="A23" s="129" t="s">
        <v>25</v>
      </c>
      <c r="B23" s="129" t="s">
        <v>26</v>
      </c>
      <c r="C23" s="175">
        <v>3.58</v>
      </c>
      <c r="D23" s="147">
        <f>404656.85+231128.38</f>
        <v>635785.23</v>
      </c>
      <c r="E23" s="147">
        <f>222693.83+397837.15</f>
        <v>620530.98</v>
      </c>
      <c r="F23" s="146">
        <f t="shared" si="0"/>
        <v>635785.23</v>
      </c>
      <c r="G23" s="147">
        <f t="shared" si="1"/>
        <v>-15254.25</v>
      </c>
      <c r="M23" s="196"/>
    </row>
    <row r="24" spans="1:13" s="162" customFormat="1" ht="15">
      <c r="A24" s="129" t="s">
        <v>27</v>
      </c>
      <c r="B24" s="129" t="s">
        <v>28</v>
      </c>
      <c r="C24" s="175">
        <v>0</v>
      </c>
      <c r="D24" s="147">
        <v>0</v>
      </c>
      <c r="E24" s="147">
        <f>8270.38+35891.53</f>
        <v>44161.909999999996</v>
      </c>
      <c r="F24" s="147">
        <f t="shared" si="0"/>
        <v>0</v>
      </c>
      <c r="G24" s="147">
        <f t="shared" si="1"/>
        <v>44161.909999999996</v>
      </c>
      <c r="M24" s="196"/>
    </row>
    <row r="25" spans="1:13" s="162" customFormat="1" ht="15">
      <c r="A25" s="129" t="s">
        <v>29</v>
      </c>
      <c r="B25" s="129" t="s">
        <v>230</v>
      </c>
      <c r="C25" s="175">
        <v>1832.48</v>
      </c>
      <c r="D25" s="147">
        <f>12097.81+11435.27</f>
        <v>23533.08</v>
      </c>
      <c r="E25" s="147">
        <f>11086.75+11785.62</f>
        <v>22872.370000000003</v>
      </c>
      <c r="F25" s="147">
        <f t="shared" si="0"/>
        <v>23533.08</v>
      </c>
      <c r="G25" s="147">
        <f t="shared" si="1"/>
        <v>-660.7099999999991</v>
      </c>
      <c r="M25" s="196"/>
    </row>
    <row r="26" spans="1:13" s="162" customFormat="1" ht="15">
      <c r="A26" s="129" t="s">
        <v>31</v>
      </c>
      <c r="B26" s="129" t="s">
        <v>131</v>
      </c>
      <c r="C26" s="175">
        <v>1.92</v>
      </c>
      <c r="D26" s="147">
        <f>227066.92+122213.28</f>
        <v>349280.2</v>
      </c>
      <c r="E26" s="147">
        <f>119600.42+223230.91</f>
        <v>342831.33</v>
      </c>
      <c r="F26" s="153">
        <f>G45</f>
        <v>191362.2133</v>
      </c>
      <c r="G26" s="147">
        <f t="shared" si="1"/>
        <v>-6448.869999999995</v>
      </c>
      <c r="M26" s="196"/>
    </row>
    <row r="27" spans="1:13" s="162" customFormat="1" ht="15">
      <c r="A27" s="129" t="s">
        <v>33</v>
      </c>
      <c r="B27" s="129" t="s">
        <v>34</v>
      </c>
      <c r="C27" s="176">
        <v>0</v>
      </c>
      <c r="D27" s="147">
        <v>0</v>
      </c>
      <c r="E27" s="147">
        <v>0</v>
      </c>
      <c r="F27" s="153">
        <v>0</v>
      </c>
      <c r="G27" s="147">
        <f t="shared" si="1"/>
        <v>0</v>
      </c>
      <c r="M27" s="196"/>
    </row>
    <row r="28" spans="1:13" s="162" customFormat="1" ht="15">
      <c r="A28" s="129" t="s">
        <v>35</v>
      </c>
      <c r="B28" s="129" t="s">
        <v>36</v>
      </c>
      <c r="C28" s="175">
        <f>SUM(C29:C32)</f>
        <v>0</v>
      </c>
      <c r="D28" s="147">
        <f>SUM(D29:D32)</f>
        <v>8149800.99</v>
      </c>
      <c r="E28" s="147">
        <f>SUM(E29:E32)</f>
        <v>8140521.09</v>
      </c>
      <c r="F28" s="147">
        <f>SUM(F29:F32)</f>
        <v>8149800.99</v>
      </c>
      <c r="G28" s="147">
        <f>SUM(G29:G32)</f>
        <v>-9279.900000000373</v>
      </c>
      <c r="M28" s="196"/>
    </row>
    <row r="29" spans="1:7" ht="15">
      <c r="A29" s="9" t="s">
        <v>37</v>
      </c>
      <c r="B29" s="9" t="s">
        <v>251</v>
      </c>
      <c r="C29" s="194" t="s">
        <v>334</v>
      </c>
      <c r="D29" s="68">
        <f>1179232.6+898868.54</f>
        <v>2078101.1400000001</v>
      </c>
      <c r="E29" s="68">
        <f>852745.61+1158519.85</f>
        <v>2011265.46</v>
      </c>
      <c r="F29" s="68">
        <f>D29</f>
        <v>2078101.1400000001</v>
      </c>
      <c r="G29" s="68">
        <f>E29-D29</f>
        <v>-66835.68000000017</v>
      </c>
    </row>
    <row r="30" spans="1:7" ht="15">
      <c r="A30" s="9" t="s">
        <v>39</v>
      </c>
      <c r="B30" s="9" t="s">
        <v>168</v>
      </c>
      <c r="C30" s="182" t="s">
        <v>314</v>
      </c>
      <c r="D30" s="68">
        <f>635978.14+340178.82</f>
        <v>976156.96</v>
      </c>
      <c r="E30" s="68">
        <f>341278.46+627534.02</f>
        <v>968812.48</v>
      </c>
      <c r="F30" s="68">
        <f>D30</f>
        <v>976156.96</v>
      </c>
      <c r="G30" s="68">
        <f>E30-D30</f>
        <v>-7344.479999999981</v>
      </c>
    </row>
    <row r="31" spans="1:7" ht="15">
      <c r="A31" s="9" t="s">
        <v>42</v>
      </c>
      <c r="B31" s="9" t="s">
        <v>170</v>
      </c>
      <c r="C31" s="195" t="s">
        <v>335</v>
      </c>
      <c r="D31" s="68">
        <f>899851.91+561497.21</f>
        <v>1461349.12</v>
      </c>
      <c r="E31" s="68">
        <f>550185.61+914173.28</f>
        <v>1464358.8900000001</v>
      </c>
      <c r="F31" s="68">
        <f>D31</f>
        <v>1461349.12</v>
      </c>
      <c r="G31" s="68">
        <f>E31-D31</f>
        <v>3009.7700000000186</v>
      </c>
    </row>
    <row r="32" spans="1:7" ht="15">
      <c r="A32" s="9" t="s">
        <v>41</v>
      </c>
      <c r="B32" s="9" t="s">
        <v>43</v>
      </c>
      <c r="C32" s="195" t="s">
        <v>341</v>
      </c>
      <c r="D32" s="68">
        <f>2333998.56+1300195.21</f>
        <v>3634193.77</v>
      </c>
      <c r="E32" s="68">
        <f>1304180.57+2391903.69</f>
        <v>3696084.26</v>
      </c>
      <c r="F32" s="68">
        <f>D32</f>
        <v>3634193.77</v>
      </c>
      <c r="G32" s="68">
        <f>E32-D32</f>
        <v>61890.48999999976</v>
      </c>
    </row>
    <row r="33" spans="1:7" ht="18" customHeight="1">
      <c r="A33" s="185">
        <v>8</v>
      </c>
      <c r="B33" s="129" t="s">
        <v>224</v>
      </c>
      <c r="C33" s="250"/>
      <c r="D33" s="147">
        <v>22800</v>
      </c>
      <c r="E33" s="147">
        <v>22800</v>
      </c>
      <c r="F33" s="147">
        <v>0</v>
      </c>
      <c r="G33" s="147">
        <f>E33-D33</f>
        <v>0</v>
      </c>
    </row>
    <row r="34" spans="1:10" s="20" customFormat="1" ht="14.25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D13+D18+D23+D24+D25+D26+D27+D28-E18-E23-E24-E25-E26-E27-E28</f>
        <v>1134908.3900000006</v>
      </c>
      <c r="E35" s="39"/>
      <c r="F35" s="39"/>
      <c r="G35" s="39"/>
      <c r="H35" s="40"/>
      <c r="I35" s="40"/>
    </row>
    <row r="36" spans="1:9" s="15" customFormat="1" ht="5.25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119">
        <f>G15+E26-F26</f>
        <v>534470.3467000001</v>
      </c>
      <c r="H37" s="40"/>
      <c r="I37" s="40"/>
    </row>
    <row r="38" spans="1:9" s="15" customFormat="1" ht="5.25" customHeight="1">
      <c r="A38" s="41"/>
      <c r="B38" s="41"/>
      <c r="C38" s="41"/>
      <c r="D38" s="42"/>
      <c r="E38" s="39"/>
      <c r="F38" s="39"/>
      <c r="G38" s="42"/>
      <c r="H38" s="40"/>
      <c r="I38" s="40"/>
    </row>
    <row r="39" spans="1:9" s="15" customFormat="1" ht="15">
      <c r="A39" s="347" t="s">
        <v>199</v>
      </c>
      <c r="B39" s="347"/>
      <c r="C39" s="89"/>
      <c r="D39" s="90"/>
      <c r="E39" s="83"/>
      <c r="F39" s="83"/>
      <c r="G39" s="90"/>
      <c r="H39" s="40"/>
      <c r="I39" s="40"/>
    </row>
    <row r="40" spans="1:9" s="15" customFormat="1" ht="15">
      <c r="A40" s="348" t="s">
        <v>200</v>
      </c>
      <c r="B40" s="349"/>
      <c r="C40" s="248" t="s">
        <v>201</v>
      </c>
      <c r="D40" s="248" t="s">
        <v>202</v>
      </c>
      <c r="E40" s="249" t="s">
        <v>203</v>
      </c>
      <c r="F40" s="179" t="s">
        <v>204</v>
      </c>
      <c r="G40" s="249" t="s">
        <v>205</v>
      </c>
      <c r="H40" s="40"/>
      <c r="I40" s="40"/>
    </row>
    <row r="41" spans="1:9" s="15" customFormat="1" ht="15">
      <c r="A41" s="350"/>
      <c r="B41" s="351"/>
      <c r="C41" s="248">
        <v>1322.3</v>
      </c>
      <c r="D41" s="249">
        <v>14.85</v>
      </c>
      <c r="E41" s="179">
        <v>241522.5</v>
      </c>
      <c r="F41" s="179">
        <v>184238.7</v>
      </c>
      <c r="G41" s="249">
        <v>119080.3</v>
      </c>
      <c r="H41" s="40"/>
      <c r="I41" s="40"/>
    </row>
    <row r="42" spans="1:9" ht="35.25" customHeight="1">
      <c r="A42" s="346" t="s">
        <v>44</v>
      </c>
      <c r="B42" s="346"/>
      <c r="C42" s="346"/>
      <c r="D42" s="346"/>
      <c r="E42" s="346"/>
      <c r="F42" s="346"/>
      <c r="G42" s="346"/>
      <c r="H42" s="346"/>
      <c r="I42" s="346"/>
    </row>
    <row r="44" spans="1:9" s="7" customFormat="1" ht="28.5" customHeight="1">
      <c r="A44" s="5" t="s">
        <v>11</v>
      </c>
      <c r="B44" s="285" t="s">
        <v>45</v>
      </c>
      <c r="C44" s="344"/>
      <c r="D44" s="286"/>
      <c r="E44" s="5" t="s">
        <v>232</v>
      </c>
      <c r="F44" s="5" t="s">
        <v>231</v>
      </c>
      <c r="G44" s="352" t="s">
        <v>46</v>
      </c>
      <c r="H44" s="352"/>
      <c r="I44" s="353"/>
    </row>
    <row r="45" spans="1:9" s="12" customFormat="1" ht="15">
      <c r="A45" s="11" t="s">
        <v>47</v>
      </c>
      <c r="B45" s="287" t="s">
        <v>126</v>
      </c>
      <c r="C45" s="345"/>
      <c r="D45" s="288"/>
      <c r="E45" s="169"/>
      <c r="F45" s="169"/>
      <c r="G45" s="354">
        <f>SUM(G46:I64)</f>
        <v>191362.2133</v>
      </c>
      <c r="H45" s="354"/>
      <c r="I45" s="353"/>
    </row>
    <row r="46" spans="1:9" ht="15" customHeight="1">
      <c r="A46" s="9" t="s">
        <v>16</v>
      </c>
      <c r="B46" s="271" t="s">
        <v>649</v>
      </c>
      <c r="C46" s="272"/>
      <c r="D46" s="273"/>
      <c r="E46" s="168" t="s">
        <v>233</v>
      </c>
      <c r="F46" s="168">
        <v>0.0175</v>
      </c>
      <c r="G46" s="294">
        <v>1876</v>
      </c>
      <c r="H46" s="294"/>
      <c r="I46" s="294"/>
    </row>
    <row r="47" spans="1:9" ht="15" customHeight="1">
      <c r="A47" s="9" t="s">
        <v>18</v>
      </c>
      <c r="B47" s="271" t="s">
        <v>641</v>
      </c>
      <c r="C47" s="272"/>
      <c r="D47" s="273"/>
      <c r="E47" s="168" t="s">
        <v>234</v>
      </c>
      <c r="F47" s="168">
        <v>1</v>
      </c>
      <c r="G47" s="294">
        <v>1426.29</v>
      </c>
      <c r="H47" s="294"/>
      <c r="I47" s="294"/>
    </row>
    <row r="48" spans="1:9" ht="15" customHeight="1">
      <c r="A48" s="9" t="s">
        <v>20</v>
      </c>
      <c r="B48" s="271" t="s">
        <v>650</v>
      </c>
      <c r="C48" s="272"/>
      <c r="D48" s="273"/>
      <c r="E48" s="168" t="s">
        <v>234</v>
      </c>
      <c r="F48" s="168">
        <v>0.01</v>
      </c>
      <c r="G48" s="294">
        <v>7783.74</v>
      </c>
      <c r="H48" s="294"/>
      <c r="I48" s="294"/>
    </row>
    <row r="49" spans="1:9" ht="15">
      <c r="A49" s="9" t="s">
        <v>22</v>
      </c>
      <c r="B49" s="271" t="s">
        <v>651</v>
      </c>
      <c r="C49" s="272"/>
      <c r="D49" s="273"/>
      <c r="E49" s="168" t="s">
        <v>461</v>
      </c>
      <c r="F49" s="168">
        <v>0.17</v>
      </c>
      <c r="G49" s="294">
        <v>24708.2</v>
      </c>
      <c r="H49" s="294"/>
      <c r="I49" s="294"/>
    </row>
    <row r="50" spans="1:9" ht="15" customHeight="1">
      <c r="A50" s="9" t="s">
        <v>24</v>
      </c>
      <c r="B50" s="271" t="s">
        <v>642</v>
      </c>
      <c r="C50" s="272"/>
      <c r="D50" s="273"/>
      <c r="E50" s="168" t="s">
        <v>234</v>
      </c>
      <c r="F50" s="168">
        <v>0.01</v>
      </c>
      <c r="G50" s="294">
        <v>7790.34</v>
      </c>
      <c r="H50" s="294"/>
      <c r="I50" s="294"/>
    </row>
    <row r="51" spans="1:9" ht="15" customHeight="1">
      <c r="A51" s="9" t="s">
        <v>116</v>
      </c>
      <c r="B51" s="271" t="s">
        <v>652</v>
      </c>
      <c r="C51" s="272"/>
      <c r="D51" s="273"/>
      <c r="E51" s="168" t="s">
        <v>234</v>
      </c>
      <c r="F51" s="168">
        <v>1</v>
      </c>
      <c r="G51" s="294">
        <v>68684</v>
      </c>
      <c r="H51" s="294"/>
      <c r="I51" s="294"/>
    </row>
    <row r="52" spans="1:9" ht="15" customHeight="1">
      <c r="A52" s="9" t="s">
        <v>117</v>
      </c>
      <c r="B52" s="271" t="s">
        <v>653</v>
      </c>
      <c r="C52" s="272"/>
      <c r="D52" s="273"/>
      <c r="E52" s="168" t="s">
        <v>595</v>
      </c>
      <c r="F52" s="168">
        <v>4</v>
      </c>
      <c r="G52" s="294">
        <v>10595.9</v>
      </c>
      <c r="H52" s="294"/>
      <c r="I52" s="294"/>
    </row>
    <row r="53" spans="1:9" s="48" customFormat="1" ht="15" customHeight="1">
      <c r="A53" s="9" t="s">
        <v>132</v>
      </c>
      <c r="B53" s="271" t="s">
        <v>643</v>
      </c>
      <c r="C53" s="272"/>
      <c r="D53" s="273"/>
      <c r="E53" s="168" t="s">
        <v>233</v>
      </c>
      <c r="F53" s="168">
        <v>0.06</v>
      </c>
      <c r="G53" s="294">
        <v>5976.37</v>
      </c>
      <c r="H53" s="294"/>
      <c r="I53" s="294"/>
    </row>
    <row r="54" spans="1:9" s="48" customFormat="1" ht="15">
      <c r="A54" s="9" t="s">
        <v>133</v>
      </c>
      <c r="B54" s="271" t="s">
        <v>654</v>
      </c>
      <c r="C54" s="272"/>
      <c r="D54" s="273"/>
      <c r="E54" s="168" t="s">
        <v>234</v>
      </c>
      <c r="F54" s="168">
        <v>1</v>
      </c>
      <c r="G54" s="294">
        <v>2778.54</v>
      </c>
      <c r="H54" s="294"/>
      <c r="I54" s="294"/>
    </row>
    <row r="55" spans="1:9" s="3" customFormat="1" ht="15">
      <c r="A55" s="9" t="s">
        <v>134</v>
      </c>
      <c r="B55" s="271" t="s">
        <v>644</v>
      </c>
      <c r="C55" s="272"/>
      <c r="D55" s="273"/>
      <c r="E55" s="168" t="s">
        <v>233</v>
      </c>
      <c r="F55" s="168">
        <v>0.04</v>
      </c>
      <c r="G55" s="294">
        <v>2889</v>
      </c>
      <c r="H55" s="294"/>
      <c r="I55" s="294"/>
    </row>
    <row r="56" spans="1:9" s="3" customFormat="1" ht="15">
      <c r="A56" s="9" t="s">
        <v>171</v>
      </c>
      <c r="B56" s="298" t="s">
        <v>655</v>
      </c>
      <c r="C56" s="355"/>
      <c r="D56" s="299"/>
      <c r="E56" s="168" t="s">
        <v>233</v>
      </c>
      <c r="F56" s="168">
        <v>0.06</v>
      </c>
      <c r="G56" s="294">
        <v>2375.72</v>
      </c>
      <c r="H56" s="294"/>
      <c r="I56" s="294"/>
    </row>
    <row r="57" spans="1:9" s="3" customFormat="1" ht="15">
      <c r="A57" s="9" t="s">
        <v>192</v>
      </c>
      <c r="B57" s="271" t="s">
        <v>645</v>
      </c>
      <c r="C57" s="272"/>
      <c r="D57" s="273"/>
      <c r="E57" s="168" t="s">
        <v>234</v>
      </c>
      <c r="F57" s="168">
        <v>0.02</v>
      </c>
      <c r="G57" s="294">
        <v>12668.13</v>
      </c>
      <c r="H57" s="294"/>
      <c r="I57" s="294"/>
    </row>
    <row r="58" spans="1:9" s="3" customFormat="1" ht="15">
      <c r="A58" s="9" t="s">
        <v>193</v>
      </c>
      <c r="B58" s="271" t="s">
        <v>656</v>
      </c>
      <c r="C58" s="272"/>
      <c r="D58" s="273"/>
      <c r="E58" s="168" t="s">
        <v>234</v>
      </c>
      <c r="F58" s="168">
        <v>4</v>
      </c>
      <c r="G58" s="294">
        <v>4281.8</v>
      </c>
      <c r="H58" s="294"/>
      <c r="I58" s="294"/>
    </row>
    <row r="59" spans="1:9" s="3" customFormat="1" ht="15">
      <c r="A59" s="9" t="s">
        <v>194</v>
      </c>
      <c r="B59" s="271" t="s">
        <v>646</v>
      </c>
      <c r="C59" s="272"/>
      <c r="D59" s="273"/>
      <c r="E59" s="168" t="s">
        <v>234</v>
      </c>
      <c r="F59" s="168">
        <v>0.04</v>
      </c>
      <c r="G59" s="294">
        <v>5232.64</v>
      </c>
      <c r="H59" s="294"/>
      <c r="I59" s="294"/>
    </row>
    <row r="60" spans="1:9" s="3" customFormat="1" ht="15">
      <c r="A60" s="9" t="s">
        <v>195</v>
      </c>
      <c r="B60" s="271" t="s">
        <v>657</v>
      </c>
      <c r="C60" s="272"/>
      <c r="D60" s="273"/>
      <c r="E60" s="168" t="s">
        <v>234</v>
      </c>
      <c r="F60" s="168">
        <v>0.01</v>
      </c>
      <c r="G60" s="294">
        <v>5693.01</v>
      </c>
      <c r="H60" s="294"/>
      <c r="I60" s="294"/>
    </row>
    <row r="61" spans="1:9" s="3" customFormat="1" ht="15">
      <c r="A61" s="243" t="s">
        <v>287</v>
      </c>
      <c r="B61" s="271" t="s">
        <v>647</v>
      </c>
      <c r="C61" s="272"/>
      <c r="D61" s="273"/>
      <c r="E61" s="168" t="s">
        <v>234</v>
      </c>
      <c r="F61" s="168">
        <v>2</v>
      </c>
      <c r="G61" s="294">
        <v>3014.22</v>
      </c>
      <c r="H61" s="294"/>
      <c r="I61" s="294"/>
    </row>
    <row r="62" spans="1:9" s="3" customFormat="1" ht="15">
      <c r="A62" s="9" t="s">
        <v>510</v>
      </c>
      <c r="B62" s="271" t="s">
        <v>601</v>
      </c>
      <c r="C62" s="272"/>
      <c r="D62" s="273"/>
      <c r="E62" s="168" t="s">
        <v>234</v>
      </c>
      <c r="F62" s="168">
        <v>74</v>
      </c>
      <c r="G62" s="294">
        <v>2960</v>
      </c>
      <c r="H62" s="294"/>
      <c r="I62" s="294"/>
    </row>
    <row r="63" spans="1:9" s="3" customFormat="1" ht="15">
      <c r="A63" s="243" t="s">
        <v>585</v>
      </c>
      <c r="B63" s="271" t="s">
        <v>648</v>
      </c>
      <c r="C63" s="272"/>
      <c r="D63" s="273"/>
      <c r="E63" s="168" t="s">
        <v>234</v>
      </c>
      <c r="F63" s="168">
        <v>2</v>
      </c>
      <c r="G63" s="294">
        <v>17200</v>
      </c>
      <c r="H63" s="294"/>
      <c r="I63" s="294"/>
    </row>
    <row r="64" spans="1:9" s="3" customFormat="1" ht="15">
      <c r="A64" s="9" t="s">
        <v>640</v>
      </c>
      <c r="B64" s="306" t="s">
        <v>286</v>
      </c>
      <c r="C64" s="340"/>
      <c r="D64" s="341"/>
      <c r="E64" s="181"/>
      <c r="F64" s="181"/>
      <c r="G64" s="296">
        <f>E26*1%</f>
        <v>3428.3133000000003</v>
      </c>
      <c r="H64" s="296"/>
      <c r="I64" s="296"/>
    </row>
    <row r="65" s="3" customFormat="1" ht="15"/>
    <row r="66" spans="1:8" ht="15">
      <c r="A66" s="3" t="s">
        <v>55</v>
      </c>
      <c r="B66" s="3"/>
      <c r="C66" s="3" t="s">
        <v>49</v>
      </c>
      <c r="D66" s="3"/>
      <c r="E66" s="3"/>
      <c r="F66" s="3"/>
      <c r="G66" s="3" t="s">
        <v>102</v>
      </c>
      <c r="H66" s="15"/>
    </row>
    <row r="67" spans="1:8" ht="15">
      <c r="A67" s="3"/>
      <c r="B67" s="3"/>
      <c r="C67" s="3"/>
      <c r="D67" s="3"/>
      <c r="E67" s="3"/>
      <c r="F67" s="3"/>
      <c r="G67" s="4" t="s">
        <v>303</v>
      </c>
      <c r="H67" s="4"/>
    </row>
    <row r="68" spans="1:8" ht="15">
      <c r="A68" s="3" t="s">
        <v>50</v>
      </c>
      <c r="B68" s="3"/>
      <c r="C68" s="3"/>
      <c r="D68" s="3"/>
      <c r="E68" s="3"/>
      <c r="F68" s="3"/>
      <c r="G68" s="3"/>
      <c r="H68" s="15"/>
    </row>
    <row r="69" spans="1:8" ht="15">
      <c r="A69" s="3"/>
      <c r="B69" s="3"/>
      <c r="C69" s="14" t="s">
        <v>51</v>
      </c>
      <c r="D69" s="14"/>
      <c r="E69" s="3"/>
      <c r="F69" s="14"/>
      <c r="G69" s="14"/>
      <c r="H69" s="85"/>
    </row>
  </sheetData>
  <sheetProtection/>
  <mergeCells count="54">
    <mergeCell ref="B63:D63"/>
    <mergeCell ref="G63:I63"/>
    <mergeCell ref="B60:D60"/>
    <mergeCell ref="G60:I60"/>
    <mergeCell ref="B61:D61"/>
    <mergeCell ref="G61:I61"/>
    <mergeCell ref="B62:D62"/>
    <mergeCell ref="G62:I62"/>
    <mergeCell ref="B64:D64"/>
    <mergeCell ref="G64:I64"/>
    <mergeCell ref="B56:D56"/>
    <mergeCell ref="G56:I56"/>
    <mergeCell ref="B57:D57"/>
    <mergeCell ref="G57:I57"/>
    <mergeCell ref="B58:D58"/>
    <mergeCell ref="G58:I58"/>
    <mergeCell ref="B59:D59"/>
    <mergeCell ref="G59:I59"/>
    <mergeCell ref="B53:D53"/>
    <mergeCell ref="G53:I53"/>
    <mergeCell ref="B54:D54"/>
    <mergeCell ref="G54:I54"/>
    <mergeCell ref="B55:D55"/>
    <mergeCell ref="G55:I55"/>
    <mergeCell ref="B50:D50"/>
    <mergeCell ref="G50:I50"/>
    <mergeCell ref="B51:D51"/>
    <mergeCell ref="G51:I51"/>
    <mergeCell ref="B52:D52"/>
    <mergeCell ref="G52:I52"/>
    <mergeCell ref="B49:D49"/>
    <mergeCell ref="G49:I49"/>
    <mergeCell ref="B45:D45"/>
    <mergeCell ref="G45:I45"/>
    <mergeCell ref="B46:D46"/>
    <mergeCell ref="G46:I46"/>
    <mergeCell ref="B47:D47"/>
    <mergeCell ref="G47:I47"/>
    <mergeCell ref="A35:C35"/>
    <mergeCell ref="A42:I42"/>
    <mergeCell ref="A39:B39"/>
    <mergeCell ref="A40:B41"/>
    <mergeCell ref="B48:D48"/>
    <mergeCell ref="G48:I48"/>
    <mergeCell ref="B44:D44"/>
    <mergeCell ref="G44:I44"/>
    <mergeCell ref="A12:I12"/>
    <mergeCell ref="A13:C13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E17" sqref="E17"/>
    </sheetView>
  </sheetViews>
  <sheetFormatPr defaultColWidth="9.140625" defaultRowHeight="15" outlineLevelCol="1"/>
  <cols>
    <col min="1" max="1" width="5.7109375" style="1" customWidth="1"/>
    <col min="2" max="2" width="39.7109375" style="1" customWidth="1"/>
    <col min="3" max="3" width="14.00390625" style="1" customWidth="1"/>
    <col min="4" max="4" width="12.7109375" style="1" customWidth="1"/>
    <col min="5" max="5" width="13.140625" style="1" customWidth="1"/>
    <col min="6" max="6" width="14.57421875" style="1" customWidth="1"/>
    <col min="7" max="7" width="14.421875" style="1" customWidth="1"/>
    <col min="8" max="8" width="10.140625" style="1" hidden="1" customWidth="1" outlineLevel="1"/>
    <col min="9" max="9" width="9.421875" style="1" hidden="1" customWidth="1" outlineLevel="1"/>
    <col min="10" max="12" width="9.140625" style="1" hidden="1" customWidth="1" outlineLevel="1"/>
    <col min="13" max="13" width="11.2812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2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2" customHeight="1">
      <c r="A4" s="280" t="s">
        <v>1</v>
      </c>
      <c r="B4" s="279"/>
      <c r="C4" s="279"/>
      <c r="D4" s="279"/>
      <c r="E4" s="279"/>
      <c r="F4" s="279"/>
      <c r="G4" s="279"/>
      <c r="H4" s="279"/>
      <c r="I4" s="279"/>
    </row>
    <row r="5" ht="4.5" customHeight="1"/>
    <row r="6" spans="1:6" s="3" customFormat="1" ht="16.5" customHeight="1">
      <c r="A6" s="3" t="s">
        <v>2</v>
      </c>
      <c r="F6" s="4" t="s">
        <v>59</v>
      </c>
    </row>
    <row r="7" spans="1:6" s="3" customFormat="1" ht="15">
      <c r="A7" s="3" t="s">
        <v>3</v>
      </c>
      <c r="F7" s="4" t="s">
        <v>152</v>
      </c>
    </row>
    <row r="8" s="3" customFormat="1" ht="15"/>
    <row r="9" spans="1:9" s="3" customFormat="1" ht="15">
      <c r="A9" s="264" t="s">
        <v>8</v>
      </c>
      <c r="B9" s="264"/>
      <c r="C9" s="264"/>
      <c r="D9" s="264"/>
      <c r="E9" s="264"/>
      <c r="F9" s="264"/>
      <c r="G9" s="264"/>
      <c r="H9" s="264"/>
      <c r="I9" s="264"/>
    </row>
    <row r="10" spans="1:9" s="3" customFormat="1" ht="1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9" customHeight="1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</row>
    <row r="12" spans="1:9" s="15" customFormat="1" ht="16.5" customHeight="1" thickBot="1">
      <c r="A12" s="265" t="s">
        <v>294</v>
      </c>
      <c r="B12" s="266"/>
      <c r="C12" s="266"/>
      <c r="D12" s="38">
        <v>-9918.75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228</v>
      </c>
      <c r="B14" s="43"/>
      <c r="C14" s="43"/>
      <c r="D14" s="44"/>
      <c r="E14" s="45"/>
      <c r="F14" s="45"/>
      <c r="G14" s="38">
        <v>94418.14</v>
      </c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38">
        <v>-237654.36</v>
      </c>
      <c r="H15" s="40"/>
      <c r="I15" s="40"/>
    </row>
    <row r="16" s="3" customFormat="1" ht="6.75" customHeight="1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8" s="165" customFormat="1" ht="14.25" customHeight="1">
      <c r="A18" s="163" t="s">
        <v>14</v>
      </c>
      <c r="B18" s="129" t="s">
        <v>15</v>
      </c>
      <c r="C18" s="145">
        <f>C19+C20+C21+C22</f>
        <v>8.93</v>
      </c>
      <c r="D18" s="146">
        <v>420078.6</v>
      </c>
      <c r="E18" s="146">
        <f>4.98+407050.99</f>
        <v>407055.97</v>
      </c>
      <c r="F18" s="146">
        <f>D18</f>
        <v>420078.6</v>
      </c>
      <c r="G18" s="147">
        <f aca="true" t="shared" si="0" ref="G18:G27">E18-D18</f>
        <v>-13022.630000000005</v>
      </c>
      <c r="H18" s="117">
        <f>C18</f>
        <v>8.93</v>
      </c>
    </row>
    <row r="19" spans="1:9" s="3" customFormat="1" ht="14.25" customHeight="1">
      <c r="A19" s="8" t="s">
        <v>16</v>
      </c>
      <c r="B19" s="9" t="s">
        <v>17</v>
      </c>
      <c r="C19" s="139">
        <v>3.22</v>
      </c>
      <c r="D19" s="67">
        <f>D18*I19</f>
        <v>151472.91063829788</v>
      </c>
      <c r="E19" s="67">
        <f>E18*I19</f>
        <v>146777.1806718925</v>
      </c>
      <c r="F19" s="67">
        <f>D19</f>
        <v>151472.91063829788</v>
      </c>
      <c r="G19" s="68">
        <f t="shared" si="0"/>
        <v>-4695.729966405372</v>
      </c>
      <c r="H19" s="117">
        <f>C19</f>
        <v>3.22</v>
      </c>
      <c r="I19" s="15">
        <f>H19/H18</f>
        <v>0.3605823068309071</v>
      </c>
    </row>
    <row r="20" spans="1:9" s="3" customFormat="1" ht="14.25" customHeight="1">
      <c r="A20" s="8" t="s">
        <v>18</v>
      </c>
      <c r="B20" s="9" t="s">
        <v>19</v>
      </c>
      <c r="C20" s="139">
        <f>1.43+0.15</f>
        <v>1.5799999999999998</v>
      </c>
      <c r="D20" s="67">
        <f>D18*I20</f>
        <v>74325.21702127658</v>
      </c>
      <c r="E20" s="67">
        <f>E18*I20</f>
        <v>72021.10107502798</v>
      </c>
      <c r="F20" s="67">
        <f>D20</f>
        <v>74325.21702127658</v>
      </c>
      <c r="G20" s="68">
        <f t="shared" si="0"/>
        <v>-2304.1159462485957</v>
      </c>
      <c r="H20" s="117">
        <f>C20</f>
        <v>1.5799999999999998</v>
      </c>
      <c r="I20" s="15">
        <f>H20/H18</f>
        <v>0.17693169092945127</v>
      </c>
    </row>
    <row r="21" spans="1:9" s="3" customFormat="1" ht="14.25" customHeight="1">
      <c r="A21" s="8" t="s">
        <v>20</v>
      </c>
      <c r="B21" s="9" t="s">
        <v>21</v>
      </c>
      <c r="C21" s="139">
        <f>1.89-0.47</f>
        <v>1.42</v>
      </c>
      <c r="D21" s="67">
        <f>D18*I21</f>
        <v>66798.61276595744</v>
      </c>
      <c r="E21" s="67">
        <f>E18*I21</f>
        <v>64727.8250167973</v>
      </c>
      <c r="F21" s="67">
        <f>D21</f>
        <v>66798.61276595744</v>
      </c>
      <c r="G21" s="68">
        <f t="shared" si="0"/>
        <v>-2070.7877491601394</v>
      </c>
      <c r="H21" s="117">
        <f>C21</f>
        <v>1.42</v>
      </c>
      <c r="I21" s="15">
        <f>H21/H18</f>
        <v>0.15901455767077266</v>
      </c>
    </row>
    <row r="22" spans="1:9" s="3" customFormat="1" ht="15">
      <c r="A22" s="8" t="s">
        <v>22</v>
      </c>
      <c r="B22" s="9" t="s">
        <v>23</v>
      </c>
      <c r="C22" s="139">
        <v>2.71</v>
      </c>
      <c r="D22" s="67">
        <f>D18*I22</f>
        <v>127481.85957446808</v>
      </c>
      <c r="E22" s="67">
        <f>E18*I22</f>
        <v>123529.8632362822</v>
      </c>
      <c r="F22" s="67">
        <f>D22</f>
        <v>127481.85957446808</v>
      </c>
      <c r="G22" s="68">
        <f t="shared" si="0"/>
        <v>-3951.9963381858834</v>
      </c>
      <c r="H22" s="117">
        <f>C22</f>
        <v>2.71</v>
      </c>
      <c r="I22" s="3">
        <f>H22/H18</f>
        <v>0.303471444568869</v>
      </c>
    </row>
    <row r="23" spans="1:7" s="162" customFormat="1" ht="14.25" customHeight="1">
      <c r="A23" s="129" t="s">
        <v>25</v>
      </c>
      <c r="B23" s="151" t="s">
        <v>26</v>
      </c>
      <c r="C23" s="175">
        <v>0</v>
      </c>
      <c r="D23" s="147">
        <v>0</v>
      </c>
      <c r="E23" s="147">
        <v>0</v>
      </c>
      <c r="F23" s="146">
        <f aca="true" t="shared" si="1" ref="F23:F32">D23</f>
        <v>0</v>
      </c>
      <c r="G23" s="147">
        <f t="shared" si="0"/>
        <v>0</v>
      </c>
    </row>
    <row r="24" spans="1:7" s="162" customFormat="1" ht="14.25" customHeight="1">
      <c r="A24" s="129" t="s">
        <v>27</v>
      </c>
      <c r="B24" s="151" t="s">
        <v>28</v>
      </c>
      <c r="C24" s="175">
        <v>0</v>
      </c>
      <c r="D24" s="147">
        <v>0</v>
      </c>
      <c r="E24" s="147">
        <v>5985.27</v>
      </c>
      <c r="F24" s="146">
        <f>D24</f>
        <v>0</v>
      </c>
      <c r="G24" s="147">
        <f t="shared" si="0"/>
        <v>5985.27</v>
      </c>
    </row>
    <row r="25" spans="1:7" s="162" customFormat="1" ht="14.25" customHeight="1">
      <c r="A25" s="129" t="s">
        <v>29</v>
      </c>
      <c r="B25" s="151" t="s">
        <v>230</v>
      </c>
      <c r="C25" s="152">
        <v>1832.48</v>
      </c>
      <c r="D25" s="147">
        <v>13468.92</v>
      </c>
      <c r="E25" s="147">
        <v>13070.76</v>
      </c>
      <c r="F25" s="146">
        <f t="shared" si="1"/>
        <v>13468.92</v>
      </c>
      <c r="G25" s="147">
        <f t="shared" si="0"/>
        <v>-398.15999999999985</v>
      </c>
    </row>
    <row r="26" spans="1:13" s="162" customFormat="1" ht="14.25" customHeight="1">
      <c r="A26" s="129" t="s">
        <v>31</v>
      </c>
      <c r="B26" s="151" t="s">
        <v>131</v>
      </c>
      <c r="C26" s="175">
        <v>1.74</v>
      </c>
      <c r="D26" s="147">
        <v>81852</v>
      </c>
      <c r="E26" s="147">
        <v>79692.07</v>
      </c>
      <c r="F26" s="146">
        <f>F42</f>
        <v>14649.4007</v>
      </c>
      <c r="G26" s="147">
        <f t="shared" si="0"/>
        <v>-2159.929999999993</v>
      </c>
      <c r="M26" s="193"/>
    </row>
    <row r="27" spans="1:7" s="162" customFormat="1" ht="14.25" customHeight="1">
      <c r="A27" s="129" t="s">
        <v>33</v>
      </c>
      <c r="B27" s="36" t="s">
        <v>34</v>
      </c>
      <c r="C27" s="176">
        <v>0</v>
      </c>
      <c r="D27" s="147">
        <v>0</v>
      </c>
      <c r="E27" s="147">
        <v>0.39</v>
      </c>
      <c r="F27" s="146">
        <f>D27</f>
        <v>0</v>
      </c>
      <c r="G27" s="147">
        <f t="shared" si="0"/>
        <v>0.39</v>
      </c>
    </row>
    <row r="28" spans="1:7" s="162" customFormat="1" ht="14.25" customHeight="1">
      <c r="A28" s="129" t="s">
        <v>35</v>
      </c>
      <c r="B28" s="36" t="s">
        <v>36</v>
      </c>
      <c r="C28" s="175"/>
      <c r="D28" s="147">
        <f>SUM(D29:D32)</f>
        <v>1650181.69</v>
      </c>
      <c r="E28" s="147">
        <f>SUM(E29:E32)</f>
        <v>1616037.6099999999</v>
      </c>
      <c r="F28" s="146">
        <f t="shared" si="1"/>
        <v>1650181.69</v>
      </c>
      <c r="G28" s="147">
        <f>SUM(G29:G32)</f>
        <v>-34144.08000000009</v>
      </c>
    </row>
    <row r="29" spans="1:7" ht="14.25" customHeight="1">
      <c r="A29" s="9" t="s">
        <v>37</v>
      </c>
      <c r="B29" s="9" t="s">
        <v>235</v>
      </c>
      <c r="C29" s="134" t="s">
        <v>315</v>
      </c>
      <c r="D29" s="68">
        <v>43834.72</v>
      </c>
      <c r="E29" s="68">
        <v>43105.05</v>
      </c>
      <c r="F29" s="67">
        <f>D29</f>
        <v>43834.72</v>
      </c>
      <c r="G29" s="68">
        <f>E29-D29</f>
        <v>-729.6699999999983</v>
      </c>
    </row>
    <row r="30" spans="1:7" ht="14.25" customHeight="1">
      <c r="A30" s="9" t="s">
        <v>39</v>
      </c>
      <c r="B30" s="9" t="s">
        <v>168</v>
      </c>
      <c r="C30" s="134" t="s">
        <v>314</v>
      </c>
      <c r="D30" s="68">
        <v>485223.91</v>
      </c>
      <c r="E30" s="68">
        <v>475173.86</v>
      </c>
      <c r="F30" s="67">
        <f t="shared" si="1"/>
        <v>485223.91</v>
      </c>
      <c r="G30" s="68">
        <f>E30-D30</f>
        <v>-10050.049999999988</v>
      </c>
    </row>
    <row r="31" spans="1:7" ht="14.25" customHeight="1">
      <c r="A31" s="9" t="s">
        <v>42</v>
      </c>
      <c r="B31" s="9" t="s">
        <v>40</v>
      </c>
      <c r="C31" s="182">
        <v>0</v>
      </c>
      <c r="D31" s="96">
        <v>0</v>
      </c>
      <c r="E31" s="96">
        <v>0</v>
      </c>
      <c r="F31" s="67">
        <f t="shared" si="1"/>
        <v>0</v>
      </c>
      <c r="G31" s="96">
        <f>E31-D31</f>
        <v>0</v>
      </c>
    </row>
    <row r="32" spans="1:7" ht="14.25" customHeight="1">
      <c r="A32" s="9" t="s">
        <v>41</v>
      </c>
      <c r="B32" s="9" t="s">
        <v>43</v>
      </c>
      <c r="C32" s="134" t="s">
        <v>316</v>
      </c>
      <c r="D32" s="68">
        <v>1121123.06</v>
      </c>
      <c r="E32" s="68">
        <v>1097758.7</v>
      </c>
      <c r="F32" s="67">
        <f t="shared" si="1"/>
        <v>1121123.06</v>
      </c>
      <c r="G32" s="68">
        <f>E32-D32</f>
        <v>-23364.360000000102</v>
      </c>
    </row>
    <row r="33" spans="1:10" s="20" customFormat="1" ht="1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265" t="s">
        <v>304</v>
      </c>
      <c r="B34" s="266"/>
      <c r="C34" s="266"/>
      <c r="D34" s="38">
        <f>D12+D18+D24+D26+D27+D28+D25-E25-E18-E24-E26-E27-E28</f>
        <v>33820.39000000036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G14+E27-F27</f>
        <v>94418.53</v>
      </c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G15+E26+F26</f>
        <v>-143312.88929999998</v>
      </c>
      <c r="H37" s="40"/>
      <c r="I37" s="40"/>
    </row>
    <row r="38" spans="1:9" s="15" customFormat="1" ht="15">
      <c r="A38" s="89"/>
      <c r="B38" s="41"/>
      <c r="C38" s="41"/>
      <c r="D38" s="42"/>
      <c r="E38" s="39"/>
      <c r="F38" s="39"/>
      <c r="G38" s="42"/>
      <c r="H38" s="40"/>
      <c r="I38" s="40"/>
    </row>
    <row r="39" spans="1:9" ht="31.5" customHeight="1">
      <c r="A39" s="267" t="s">
        <v>44</v>
      </c>
      <c r="B39" s="267"/>
      <c r="C39" s="267"/>
      <c r="D39" s="267"/>
      <c r="E39" s="267"/>
      <c r="F39" s="267"/>
      <c r="G39" s="267"/>
      <c r="H39" s="267"/>
      <c r="I39" s="267"/>
    </row>
    <row r="40" ht="9" customHeight="1"/>
    <row r="41" spans="1:7" s="7" customFormat="1" ht="28.5" customHeight="1">
      <c r="A41" s="5" t="s">
        <v>11</v>
      </c>
      <c r="B41" s="166" t="s">
        <v>45</v>
      </c>
      <c r="C41" s="167"/>
      <c r="D41" s="5" t="s">
        <v>232</v>
      </c>
      <c r="E41" s="5" t="s">
        <v>231</v>
      </c>
      <c r="F41" s="285" t="s">
        <v>46</v>
      </c>
      <c r="G41" s="291"/>
    </row>
    <row r="42" spans="1:7" s="12" customFormat="1" ht="15" customHeight="1">
      <c r="A42" s="11">
        <v>1</v>
      </c>
      <c r="B42" s="287" t="s">
        <v>126</v>
      </c>
      <c r="C42" s="288"/>
      <c r="D42" s="11"/>
      <c r="E42" s="11"/>
      <c r="F42" s="295">
        <f>SUM(F43:G44)</f>
        <v>14649.4007</v>
      </c>
      <c r="G42" s="291"/>
    </row>
    <row r="43" spans="1:7" s="48" customFormat="1" ht="15.75" customHeight="1">
      <c r="A43" s="47" t="s">
        <v>16</v>
      </c>
      <c r="B43" s="171" t="s">
        <v>480</v>
      </c>
      <c r="C43" s="172"/>
      <c r="D43" s="177" t="s">
        <v>412</v>
      </c>
      <c r="E43" s="178">
        <v>0.35</v>
      </c>
      <c r="F43" s="296">
        <v>13852.48</v>
      </c>
      <c r="G43" s="296"/>
    </row>
    <row r="44" spans="1:7" ht="15.75" customHeight="1">
      <c r="A44" s="9" t="s">
        <v>18</v>
      </c>
      <c r="B44" s="131" t="s">
        <v>286</v>
      </c>
      <c r="C44" s="132"/>
      <c r="D44" s="158"/>
      <c r="E44" s="158"/>
      <c r="F44" s="294">
        <f>E26*1%</f>
        <v>796.9207000000001</v>
      </c>
      <c r="G44" s="294"/>
    </row>
    <row r="45" spans="1:7" ht="15.75" customHeight="1">
      <c r="A45" s="49"/>
      <c r="B45" s="74"/>
      <c r="C45" s="74"/>
      <c r="D45" s="74"/>
      <c r="E45" s="74"/>
      <c r="F45" s="75"/>
      <c r="G45" s="75"/>
    </row>
    <row r="46" spans="2:5" ht="9" customHeight="1">
      <c r="B46" s="13"/>
      <c r="C46" s="13"/>
      <c r="D46" s="13"/>
      <c r="E46" s="13"/>
    </row>
    <row r="47" spans="1:5" s="3" customFormat="1" ht="15">
      <c r="A47" s="3" t="s">
        <v>55</v>
      </c>
      <c r="C47" s="3" t="s">
        <v>49</v>
      </c>
      <c r="E47" s="3" t="s">
        <v>102</v>
      </c>
    </row>
    <row r="48" s="3" customFormat="1" ht="7.5" customHeight="1"/>
    <row r="49" s="3" customFormat="1" ht="13.5" customHeight="1">
      <c r="F49" s="4" t="s">
        <v>303</v>
      </c>
    </row>
    <row r="50" s="3" customFormat="1" ht="7.5" customHeight="1"/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15">
    <mergeCell ref="A10:I10"/>
    <mergeCell ref="A1:I1"/>
    <mergeCell ref="A2:I2"/>
    <mergeCell ref="A4:I4"/>
    <mergeCell ref="A9:I9"/>
    <mergeCell ref="A3:K3"/>
    <mergeCell ref="F44:G44"/>
    <mergeCell ref="F43:G43"/>
    <mergeCell ref="F42:G42"/>
    <mergeCell ref="A11:I11"/>
    <mergeCell ref="A39:I39"/>
    <mergeCell ref="F41:G41"/>
    <mergeCell ref="A12:C12"/>
    <mergeCell ref="A34:C34"/>
    <mergeCell ref="B42:C42"/>
  </mergeCells>
  <printOptions/>
  <pageMargins left="0" right="0" top="0" bottom="0" header="0.31496062992125984" footer="0.31496062992125984"/>
  <pageSetup horizontalDpi="600" verticalDpi="600" orientation="portrait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G38" sqref="G38"/>
    </sheetView>
  </sheetViews>
  <sheetFormatPr defaultColWidth="9.140625" defaultRowHeight="15" outlineLevelCol="1"/>
  <cols>
    <col min="1" max="1" width="6.28125" style="1" customWidth="1"/>
    <col min="2" max="2" width="44.140625" style="1" customWidth="1"/>
    <col min="3" max="3" width="13.00390625" style="1" customWidth="1"/>
    <col min="4" max="4" width="16.7109375" style="1" customWidth="1"/>
    <col min="5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0.00390625" style="0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 t="s">
        <v>161</v>
      </c>
    </row>
    <row r="8" spans="1:6" s="3" customFormat="1" ht="15">
      <c r="A8" s="3" t="s">
        <v>3</v>
      </c>
      <c r="F8" s="4" t="s">
        <v>162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5.75" thickBot="1">
      <c r="A13" s="265" t="s">
        <v>294</v>
      </c>
      <c r="B13" s="266"/>
      <c r="C13" s="266"/>
      <c r="D13" s="73">
        <v>466895.54</v>
      </c>
      <c r="E13" s="39"/>
      <c r="F13" s="39"/>
      <c r="G13" s="39"/>
      <c r="H13" s="40"/>
      <c r="I13" s="40"/>
    </row>
    <row r="14" spans="1:9" s="15" customFormat="1" ht="15.75" thickBot="1">
      <c r="A14" s="89"/>
      <c r="B14" s="41"/>
      <c r="C14" s="41"/>
      <c r="D14" s="197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73">
        <v>-82056.12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8" s="165" customFormat="1" ht="28.5">
      <c r="A18" s="163" t="s">
        <v>14</v>
      </c>
      <c r="B18" s="129" t="s">
        <v>15</v>
      </c>
      <c r="C18" s="175">
        <f>SUM(C19:C23)</f>
        <v>12.580000000000002</v>
      </c>
      <c r="D18" s="146">
        <v>1397593.8</v>
      </c>
      <c r="E18" s="146">
        <v>1336470.69</v>
      </c>
      <c r="F18" s="146">
        <f aca="true" t="shared" si="0" ref="F18:F26">D18</f>
        <v>1397593.8</v>
      </c>
      <c r="G18" s="147">
        <f aca="true" t="shared" si="1" ref="G18:G28">E18-D18</f>
        <v>-61123.1100000001</v>
      </c>
      <c r="H18" s="148">
        <f aca="true" t="shared" si="2" ref="H18:H23">C18</f>
        <v>12.580000000000002</v>
      </c>
    </row>
    <row r="19" spans="1:9" s="3" customFormat="1" ht="15">
      <c r="A19" s="8" t="s">
        <v>16</v>
      </c>
      <c r="B19" s="9" t="s">
        <v>17</v>
      </c>
      <c r="C19" s="69">
        <v>3.22</v>
      </c>
      <c r="D19" s="67">
        <f>D18*I19</f>
        <v>357730.68648648646</v>
      </c>
      <c r="E19" s="67">
        <f>E18*I19</f>
        <v>342085.5025278219</v>
      </c>
      <c r="F19" s="67">
        <f t="shared" si="0"/>
        <v>357730.68648648646</v>
      </c>
      <c r="G19" s="68">
        <f t="shared" si="1"/>
        <v>-15645.183958664536</v>
      </c>
      <c r="H19" s="143">
        <f t="shared" si="2"/>
        <v>3.22</v>
      </c>
      <c r="I19" s="15">
        <f>H19/H18</f>
        <v>0.2559618441971383</v>
      </c>
    </row>
    <row r="20" spans="1:9" s="3" customFormat="1" ht="15">
      <c r="A20" s="8" t="s">
        <v>18</v>
      </c>
      <c r="B20" s="9" t="s">
        <v>19</v>
      </c>
      <c r="C20" s="69">
        <f>1.53</f>
        <v>1.53</v>
      </c>
      <c r="D20" s="67">
        <f>D18*I20</f>
        <v>169977.6243243243</v>
      </c>
      <c r="E20" s="67">
        <f>E18*I20</f>
        <v>162543.73256756752</v>
      </c>
      <c r="F20" s="67">
        <f t="shared" si="0"/>
        <v>169977.6243243243</v>
      </c>
      <c r="G20" s="68">
        <f t="shared" si="1"/>
        <v>-7433.891756756784</v>
      </c>
      <c r="H20" s="143">
        <f t="shared" si="2"/>
        <v>1.53</v>
      </c>
      <c r="I20" s="15">
        <f>H20/H18</f>
        <v>0.1216216216216216</v>
      </c>
    </row>
    <row r="21" spans="1:9" s="3" customFormat="1" ht="15">
      <c r="A21" s="8" t="s">
        <v>20</v>
      </c>
      <c r="B21" s="9" t="s">
        <v>21</v>
      </c>
      <c r="C21" s="69">
        <f>1.89-0.14</f>
        <v>1.75</v>
      </c>
      <c r="D21" s="67">
        <f>D18*I21</f>
        <v>194418.85135135133</v>
      </c>
      <c r="E21" s="67">
        <f>E18*I21</f>
        <v>185916.0339825119</v>
      </c>
      <c r="F21" s="67">
        <f t="shared" si="0"/>
        <v>194418.85135135133</v>
      </c>
      <c r="G21" s="68">
        <f t="shared" si="1"/>
        <v>-8502.81736883943</v>
      </c>
      <c r="H21" s="143">
        <f t="shared" si="2"/>
        <v>1.75</v>
      </c>
      <c r="I21" s="15">
        <f>H21/H18</f>
        <v>0.13910969793322733</v>
      </c>
    </row>
    <row r="22" spans="1:9" s="3" customFormat="1" ht="15">
      <c r="A22" s="8" t="s">
        <v>22</v>
      </c>
      <c r="B22" s="9" t="s">
        <v>23</v>
      </c>
      <c r="C22" s="69">
        <v>2.71</v>
      </c>
      <c r="D22" s="67">
        <f>D18*I22</f>
        <v>301071.4783783783</v>
      </c>
      <c r="E22" s="67">
        <f>E18*I22</f>
        <v>287904.2583386327</v>
      </c>
      <c r="F22" s="67">
        <f t="shared" si="0"/>
        <v>301071.4783783783</v>
      </c>
      <c r="G22" s="68">
        <f t="shared" si="1"/>
        <v>-13167.220039745618</v>
      </c>
      <c r="H22" s="143">
        <f t="shared" si="2"/>
        <v>2.71</v>
      </c>
      <c r="I22" s="15">
        <f>H22/H18</f>
        <v>0.21542130365659773</v>
      </c>
    </row>
    <row r="23" spans="1:9" s="3" customFormat="1" ht="15">
      <c r="A23" s="8" t="s">
        <v>24</v>
      </c>
      <c r="B23" s="9" t="s">
        <v>197</v>
      </c>
      <c r="C23" s="69">
        <v>3.37</v>
      </c>
      <c r="D23" s="67">
        <f>D18*I23</f>
        <v>374395.1594594594</v>
      </c>
      <c r="E23" s="67">
        <f>E18*I23</f>
        <v>358021.16258346575</v>
      </c>
      <c r="F23" s="67">
        <f>D23</f>
        <v>374395.1594594594</v>
      </c>
      <c r="G23" s="68">
        <f>E23-D23</f>
        <v>-16373.996875993675</v>
      </c>
      <c r="H23" s="143">
        <f t="shared" si="2"/>
        <v>3.37</v>
      </c>
      <c r="I23" s="15">
        <f>H23/H18</f>
        <v>0.2678855325914149</v>
      </c>
    </row>
    <row r="24" spans="1:13" s="162" customFormat="1" ht="15">
      <c r="A24" s="129" t="s">
        <v>25</v>
      </c>
      <c r="B24" s="129" t="s">
        <v>26</v>
      </c>
      <c r="C24" s="175">
        <v>3.58</v>
      </c>
      <c r="D24" s="147">
        <v>399515.41</v>
      </c>
      <c r="E24" s="147">
        <v>395480.28</v>
      </c>
      <c r="F24" s="146">
        <f t="shared" si="0"/>
        <v>399515.41</v>
      </c>
      <c r="G24" s="147">
        <f t="shared" si="1"/>
        <v>-4035.1299999999464</v>
      </c>
      <c r="M24" s="196"/>
    </row>
    <row r="25" spans="1:13" s="162" customFormat="1" ht="15">
      <c r="A25" s="129" t="s">
        <v>27</v>
      </c>
      <c r="B25" s="129" t="s">
        <v>28</v>
      </c>
      <c r="C25" s="175">
        <v>4.6</v>
      </c>
      <c r="D25" s="147">
        <v>0</v>
      </c>
      <c r="E25" s="147">
        <v>26278.63</v>
      </c>
      <c r="F25" s="147">
        <f t="shared" si="0"/>
        <v>0</v>
      </c>
      <c r="G25" s="147">
        <f t="shared" si="1"/>
        <v>26278.63</v>
      </c>
      <c r="M25" s="196"/>
    </row>
    <row r="26" spans="1:13" s="162" customFormat="1" ht="15">
      <c r="A26" s="129" t="s">
        <v>29</v>
      </c>
      <c r="B26" s="129" t="s">
        <v>30</v>
      </c>
      <c r="C26" s="175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  <c r="M26" s="196"/>
    </row>
    <row r="27" spans="1:13" s="162" customFormat="1" ht="15">
      <c r="A27" s="129" t="s">
        <v>31</v>
      </c>
      <c r="B27" s="129" t="s">
        <v>131</v>
      </c>
      <c r="C27" s="175">
        <v>1.92</v>
      </c>
      <c r="D27" s="147">
        <v>213535.08</v>
      </c>
      <c r="E27" s="147">
        <v>210131.59</v>
      </c>
      <c r="F27" s="153">
        <f>G42</f>
        <v>49499.87589999999</v>
      </c>
      <c r="G27" s="147">
        <f t="shared" si="1"/>
        <v>-3403.4899999999907</v>
      </c>
      <c r="M27" s="255"/>
    </row>
    <row r="28" spans="1:13" s="162" customFormat="1" ht="15">
      <c r="A28" s="129" t="s">
        <v>33</v>
      </c>
      <c r="B28" s="129" t="s">
        <v>230</v>
      </c>
      <c r="C28" s="176">
        <v>0</v>
      </c>
      <c r="D28" s="147">
        <v>0</v>
      </c>
      <c r="E28" s="147">
        <v>0</v>
      </c>
      <c r="F28" s="153">
        <f>D28</f>
        <v>0</v>
      </c>
      <c r="G28" s="147">
        <f t="shared" si="1"/>
        <v>0</v>
      </c>
      <c r="M28" s="196"/>
    </row>
    <row r="29" spans="1:13" s="162" customFormat="1" ht="15">
      <c r="A29" s="129" t="s">
        <v>35</v>
      </c>
      <c r="B29" s="129" t="s">
        <v>36</v>
      </c>
      <c r="C29" s="175">
        <f>SUM(C30:C33)</f>
        <v>0</v>
      </c>
      <c r="D29" s="147">
        <f>SUM(D30:D33)</f>
        <v>5170893.630000001</v>
      </c>
      <c r="E29" s="147">
        <f>SUM(E30:E33)</f>
        <v>5198616.25</v>
      </c>
      <c r="F29" s="147">
        <f>SUM(F30:F33)</f>
        <v>5170893.630000001</v>
      </c>
      <c r="G29" s="147">
        <f>SUM(G30:G33)</f>
        <v>27722.61999999988</v>
      </c>
      <c r="M29" s="196"/>
    </row>
    <row r="30" spans="1:7" ht="15">
      <c r="A30" s="9" t="s">
        <v>37</v>
      </c>
      <c r="B30" s="9" t="s">
        <v>251</v>
      </c>
      <c r="C30" s="194" t="s">
        <v>334</v>
      </c>
      <c r="D30" s="68">
        <v>1201630.89</v>
      </c>
      <c r="E30" s="68">
        <v>1193058.51</v>
      </c>
      <c r="F30" s="68">
        <f>D30</f>
        <v>1201630.89</v>
      </c>
      <c r="G30" s="68">
        <f>E30-D30</f>
        <v>-8572.379999999888</v>
      </c>
    </row>
    <row r="31" spans="1:7" ht="15">
      <c r="A31" s="9" t="s">
        <v>39</v>
      </c>
      <c r="B31" s="9" t="s">
        <v>168</v>
      </c>
      <c r="C31" s="182" t="s">
        <v>314</v>
      </c>
      <c r="D31" s="68">
        <v>590937.01</v>
      </c>
      <c r="E31" s="68">
        <v>588579.73</v>
      </c>
      <c r="F31" s="68">
        <f>D31</f>
        <v>590937.01</v>
      </c>
      <c r="G31" s="68">
        <f>E31-D31</f>
        <v>-2357.280000000028</v>
      </c>
    </row>
    <row r="32" spans="1:7" ht="15">
      <c r="A32" s="9" t="s">
        <v>42</v>
      </c>
      <c r="B32" s="9" t="s">
        <v>170</v>
      </c>
      <c r="C32" s="195" t="s">
        <v>335</v>
      </c>
      <c r="D32" s="68">
        <v>1006887.05</v>
      </c>
      <c r="E32" s="68">
        <v>1033821.28</v>
      </c>
      <c r="F32" s="68">
        <f>D32</f>
        <v>1006887.05</v>
      </c>
      <c r="G32" s="68">
        <f>E32-D32</f>
        <v>26934.22999999998</v>
      </c>
    </row>
    <row r="33" spans="1:7" ht="15">
      <c r="A33" s="9" t="s">
        <v>41</v>
      </c>
      <c r="B33" s="9" t="s">
        <v>43</v>
      </c>
      <c r="C33" s="195" t="s">
        <v>341</v>
      </c>
      <c r="D33" s="68">
        <v>2371438.68</v>
      </c>
      <c r="E33" s="68">
        <v>2383156.73</v>
      </c>
      <c r="F33" s="68">
        <f>D33</f>
        <v>2371438.68</v>
      </c>
      <c r="G33" s="68">
        <f>E33-D33</f>
        <v>11718.049999999814</v>
      </c>
    </row>
    <row r="34" spans="1:13" s="253" customFormat="1" ht="15">
      <c r="A34" s="251">
        <v>8</v>
      </c>
      <c r="B34" s="252" t="s">
        <v>177</v>
      </c>
      <c r="C34" s="127"/>
      <c r="D34" s="247">
        <v>22800</v>
      </c>
      <c r="E34" s="247">
        <v>22800</v>
      </c>
      <c r="F34" s="247">
        <v>0</v>
      </c>
      <c r="G34" s="247">
        <f>E34-D34</f>
        <v>0</v>
      </c>
      <c r="M34" s="254"/>
    </row>
    <row r="35" spans="1:10" s="20" customFormat="1" ht="9" customHeight="1" thickBot="1">
      <c r="A35" s="21"/>
      <c r="B35" s="21"/>
      <c r="C35" s="21"/>
      <c r="D35" s="22"/>
      <c r="E35" s="22"/>
      <c r="F35" s="22"/>
      <c r="G35" s="22"/>
      <c r="H35" s="22"/>
      <c r="I35" s="22"/>
      <c r="J35" s="22"/>
    </row>
    <row r="36" spans="1:9" s="15" customFormat="1" ht="15.75" thickBot="1">
      <c r="A36" s="265" t="s">
        <v>299</v>
      </c>
      <c r="B36" s="266"/>
      <c r="C36" s="266"/>
      <c r="D36" s="73">
        <f>D13+D18+D24+D25+D26+D27+D28+D29-E18-E24-E25-E26-E27-E28-E29</f>
        <v>481456.0200000014</v>
      </c>
      <c r="E36" s="39"/>
      <c r="F36" s="39"/>
      <c r="G36" s="39"/>
      <c r="H36" s="40"/>
      <c r="I36" s="40"/>
    </row>
    <row r="37" spans="1:9" s="15" customFormat="1" ht="8.25" customHeight="1" thickBot="1">
      <c r="A37" s="41"/>
      <c r="B37" s="41"/>
      <c r="C37" s="41"/>
      <c r="D37" s="42"/>
      <c r="E37" s="39"/>
      <c r="F37" s="39"/>
      <c r="G37" s="39"/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G15+E27-F27</f>
        <v>78575.59410000002</v>
      </c>
      <c r="H38" s="40"/>
      <c r="I38" s="40"/>
    </row>
    <row r="39" spans="1:9" ht="35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0" ht="9" customHeight="1"/>
    <row r="41" spans="1:9" s="7" customFormat="1" ht="28.5" customHeight="1">
      <c r="A41" s="5" t="s">
        <v>11</v>
      </c>
      <c r="B41" s="285" t="s">
        <v>45</v>
      </c>
      <c r="C41" s="344"/>
      <c r="D41" s="286"/>
      <c r="E41" s="5" t="s">
        <v>232</v>
      </c>
      <c r="F41" s="5" t="s">
        <v>231</v>
      </c>
      <c r="G41" s="352" t="s">
        <v>46</v>
      </c>
      <c r="H41" s="352"/>
      <c r="I41" s="353"/>
    </row>
    <row r="42" spans="1:9" s="12" customFormat="1" ht="15">
      <c r="A42" s="11" t="s">
        <v>47</v>
      </c>
      <c r="B42" s="287" t="s">
        <v>126</v>
      </c>
      <c r="C42" s="345"/>
      <c r="D42" s="288"/>
      <c r="E42" s="169"/>
      <c r="F42" s="169"/>
      <c r="G42" s="354">
        <f>SUM(G43:I55)</f>
        <v>49499.87589999999</v>
      </c>
      <c r="H42" s="354"/>
      <c r="I42" s="353"/>
    </row>
    <row r="43" spans="1:9" ht="15" customHeight="1">
      <c r="A43" s="9" t="s">
        <v>16</v>
      </c>
      <c r="B43" s="271" t="s">
        <v>658</v>
      </c>
      <c r="C43" s="272"/>
      <c r="D43" s="273"/>
      <c r="E43" s="168" t="s">
        <v>234</v>
      </c>
      <c r="F43" s="168">
        <v>1</v>
      </c>
      <c r="G43" s="294">
        <v>19369.84</v>
      </c>
      <c r="H43" s="294"/>
      <c r="I43" s="294"/>
    </row>
    <row r="44" spans="1:9" ht="15" customHeight="1">
      <c r="A44" s="9" t="s">
        <v>18</v>
      </c>
      <c r="B44" s="271" t="s">
        <v>659</v>
      </c>
      <c r="C44" s="272"/>
      <c r="D44" s="273"/>
      <c r="E44" s="168" t="s">
        <v>234</v>
      </c>
      <c r="F44" s="168">
        <v>0.01</v>
      </c>
      <c r="G44" s="294">
        <v>9756.22</v>
      </c>
      <c r="H44" s="294"/>
      <c r="I44" s="294"/>
    </row>
    <row r="45" spans="1:9" ht="15" customHeight="1">
      <c r="A45" s="9" t="s">
        <v>20</v>
      </c>
      <c r="B45" s="271" t="s">
        <v>660</v>
      </c>
      <c r="C45" s="272"/>
      <c r="D45" s="273"/>
      <c r="E45" s="168" t="s">
        <v>234</v>
      </c>
      <c r="F45" s="168">
        <v>0.02</v>
      </c>
      <c r="G45" s="294">
        <v>192.18</v>
      </c>
      <c r="H45" s="294"/>
      <c r="I45" s="294"/>
    </row>
    <row r="46" spans="1:9" ht="15" customHeight="1">
      <c r="A46" s="9" t="s">
        <v>22</v>
      </c>
      <c r="B46" s="271" t="s">
        <v>661</v>
      </c>
      <c r="C46" s="272"/>
      <c r="D46" s="273"/>
      <c r="E46" s="168" t="s">
        <v>595</v>
      </c>
      <c r="F46" s="168">
        <v>2</v>
      </c>
      <c r="G46" s="294">
        <v>5297.95</v>
      </c>
      <c r="H46" s="294"/>
      <c r="I46" s="294"/>
    </row>
    <row r="47" spans="1:9" ht="15">
      <c r="A47" s="9" t="s">
        <v>24</v>
      </c>
      <c r="B47" s="271" t="s">
        <v>662</v>
      </c>
      <c r="C47" s="272"/>
      <c r="D47" s="273"/>
      <c r="E47" s="168" t="s">
        <v>595</v>
      </c>
      <c r="F47" s="168">
        <v>2</v>
      </c>
      <c r="G47" s="294">
        <v>2345.36</v>
      </c>
      <c r="H47" s="294"/>
      <c r="I47" s="294"/>
    </row>
    <row r="48" spans="1:9" ht="15" customHeight="1">
      <c r="A48" s="9" t="s">
        <v>116</v>
      </c>
      <c r="B48" s="271" t="s">
        <v>663</v>
      </c>
      <c r="C48" s="272"/>
      <c r="D48" s="273"/>
      <c r="E48" s="168" t="s">
        <v>233</v>
      </c>
      <c r="F48" s="168">
        <v>0.01</v>
      </c>
      <c r="G48" s="294">
        <v>645.63</v>
      </c>
      <c r="H48" s="294"/>
      <c r="I48" s="294"/>
    </row>
    <row r="49" spans="1:9" ht="15" customHeight="1">
      <c r="A49" s="9" t="s">
        <v>117</v>
      </c>
      <c r="B49" s="271" t="s">
        <v>664</v>
      </c>
      <c r="C49" s="272"/>
      <c r="D49" s="273"/>
      <c r="E49" s="168" t="s">
        <v>234</v>
      </c>
      <c r="F49" s="168">
        <v>0.01</v>
      </c>
      <c r="G49" s="294">
        <v>1639.78</v>
      </c>
      <c r="H49" s="294"/>
      <c r="I49" s="294"/>
    </row>
    <row r="50" spans="1:9" ht="15" customHeight="1">
      <c r="A50" s="9" t="s">
        <v>132</v>
      </c>
      <c r="B50" s="271" t="s">
        <v>665</v>
      </c>
      <c r="C50" s="272"/>
      <c r="D50" s="273"/>
      <c r="E50" s="168" t="s">
        <v>234</v>
      </c>
      <c r="F50" s="168">
        <v>0.01</v>
      </c>
      <c r="G50" s="294">
        <v>4157.98</v>
      </c>
      <c r="H50" s="294"/>
      <c r="I50" s="294"/>
    </row>
    <row r="51" spans="1:9" ht="15" customHeight="1">
      <c r="A51" s="9" t="s">
        <v>133</v>
      </c>
      <c r="B51" s="271" t="s">
        <v>666</v>
      </c>
      <c r="C51" s="272"/>
      <c r="D51" s="273"/>
      <c r="E51" s="168" t="s">
        <v>233</v>
      </c>
      <c r="F51" s="168">
        <v>0.01</v>
      </c>
      <c r="G51" s="294">
        <v>1032.17</v>
      </c>
      <c r="H51" s="294"/>
      <c r="I51" s="294"/>
    </row>
    <row r="52" spans="1:9" ht="15" customHeight="1">
      <c r="A52" s="9" t="s">
        <v>134</v>
      </c>
      <c r="B52" s="271" t="s">
        <v>667</v>
      </c>
      <c r="C52" s="272"/>
      <c r="D52" s="273"/>
      <c r="E52" s="168" t="s">
        <v>234</v>
      </c>
      <c r="F52" s="168">
        <v>0.01</v>
      </c>
      <c r="G52" s="294">
        <v>223.9</v>
      </c>
      <c r="H52" s="294"/>
      <c r="I52" s="294"/>
    </row>
    <row r="53" spans="1:13" ht="15" customHeight="1">
      <c r="A53" s="9" t="s">
        <v>171</v>
      </c>
      <c r="B53" s="271" t="s">
        <v>668</v>
      </c>
      <c r="C53" s="272"/>
      <c r="D53" s="273"/>
      <c r="E53" s="168" t="s">
        <v>234</v>
      </c>
      <c r="F53" s="168">
        <v>0.01</v>
      </c>
      <c r="G53" s="230">
        <v>1217.55</v>
      </c>
      <c r="H53" s="230"/>
      <c r="I53" s="230"/>
      <c r="M53" s="232"/>
    </row>
    <row r="54" spans="1:13" ht="15" customHeight="1">
      <c r="A54" s="9" t="s">
        <v>192</v>
      </c>
      <c r="B54" s="271" t="s">
        <v>601</v>
      </c>
      <c r="C54" s="272"/>
      <c r="D54" s="273"/>
      <c r="E54" s="168" t="s">
        <v>234</v>
      </c>
      <c r="F54" s="168">
        <v>38</v>
      </c>
      <c r="G54" s="230">
        <v>1520</v>
      </c>
      <c r="H54" s="230"/>
      <c r="I54" s="230"/>
      <c r="M54" s="232"/>
    </row>
    <row r="55" spans="1:9" s="3" customFormat="1" ht="15">
      <c r="A55" s="9" t="s">
        <v>193</v>
      </c>
      <c r="B55" s="306" t="s">
        <v>286</v>
      </c>
      <c r="C55" s="340"/>
      <c r="D55" s="341"/>
      <c r="E55" s="181"/>
      <c r="F55" s="181"/>
      <c r="G55" s="296">
        <f>E27*1%</f>
        <v>2101.3159</v>
      </c>
      <c r="H55" s="296"/>
      <c r="I55" s="296"/>
    </row>
    <row r="56" s="3" customFormat="1" ht="15"/>
    <row r="57" spans="1:8" s="3" customFormat="1" ht="15">
      <c r="A57" s="3" t="s">
        <v>55</v>
      </c>
      <c r="C57" s="3" t="s">
        <v>49</v>
      </c>
      <c r="G57" s="3" t="s">
        <v>102</v>
      </c>
      <c r="H57" s="15"/>
    </row>
    <row r="58" spans="1:8" ht="15">
      <c r="A58" s="3"/>
      <c r="B58" s="3"/>
      <c r="C58" s="3"/>
      <c r="D58" s="3"/>
      <c r="E58" s="3"/>
      <c r="F58" s="3"/>
      <c r="G58" s="4" t="s">
        <v>303</v>
      </c>
      <c r="H58" s="4"/>
    </row>
    <row r="59" spans="1:8" ht="15">
      <c r="A59" s="3" t="s">
        <v>50</v>
      </c>
      <c r="B59" s="3"/>
      <c r="C59" s="3"/>
      <c r="D59" s="3"/>
      <c r="E59" s="3"/>
      <c r="F59" s="3"/>
      <c r="G59" s="3"/>
      <c r="H59" s="15"/>
    </row>
    <row r="60" spans="1:8" ht="15">
      <c r="A60" s="3"/>
      <c r="B60" s="3"/>
      <c r="C60" s="14" t="s">
        <v>51</v>
      </c>
      <c r="D60" s="14"/>
      <c r="E60" s="3"/>
      <c r="F60" s="14"/>
      <c r="G60" s="14"/>
      <c r="H60" s="85"/>
    </row>
  </sheetData>
  <sheetProtection/>
  <mergeCells count="38">
    <mergeCell ref="B53:D53"/>
    <mergeCell ref="B54:D54"/>
    <mergeCell ref="B52:D52"/>
    <mergeCell ref="G52:I52"/>
    <mergeCell ref="B55:D55"/>
    <mergeCell ref="G55:I55"/>
    <mergeCell ref="B48:D48"/>
    <mergeCell ref="G48:I48"/>
    <mergeCell ref="B49:D49"/>
    <mergeCell ref="G49:I49"/>
    <mergeCell ref="B50:D50"/>
    <mergeCell ref="G50:I50"/>
    <mergeCell ref="B51:D51"/>
    <mergeCell ref="G51:I51"/>
    <mergeCell ref="B42:D42"/>
    <mergeCell ref="G42:I42"/>
    <mergeCell ref="B43:D43"/>
    <mergeCell ref="G43:I43"/>
    <mergeCell ref="B44:D44"/>
    <mergeCell ref="G44:I44"/>
    <mergeCell ref="B45:D45"/>
    <mergeCell ref="G45:I45"/>
    <mergeCell ref="B46:D46"/>
    <mergeCell ref="G46:I46"/>
    <mergeCell ref="B47:D47"/>
    <mergeCell ref="G47:I47"/>
    <mergeCell ref="A12:I12"/>
    <mergeCell ref="A13:C13"/>
    <mergeCell ref="A36:C36"/>
    <mergeCell ref="A39:I39"/>
    <mergeCell ref="B41:D41"/>
    <mergeCell ref="G41:I41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20" sqref="C20"/>
    </sheetView>
  </sheetViews>
  <sheetFormatPr defaultColWidth="9.140625" defaultRowHeight="15" outlineLevelCol="1"/>
  <cols>
    <col min="1" max="1" width="5.00390625" style="1" customWidth="1"/>
    <col min="2" max="2" width="49.57421875" style="1" customWidth="1"/>
    <col min="3" max="3" width="15.8515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 t="s">
        <v>164</v>
      </c>
    </row>
    <row r="8" spans="1:6" s="3" customFormat="1" ht="15">
      <c r="A8" s="3" t="s">
        <v>3</v>
      </c>
      <c r="F8" s="4" t="s">
        <v>163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5.75" thickBot="1">
      <c r="A13" s="265" t="s">
        <v>294</v>
      </c>
      <c r="B13" s="266"/>
      <c r="C13" s="266"/>
      <c r="D13" s="73">
        <v>202328.3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73">
        <v>2702.74</v>
      </c>
      <c r="H15" s="40"/>
      <c r="I15" s="40"/>
    </row>
    <row r="16" spans="1:9" s="15" customFormat="1" ht="15.75" thickBot="1">
      <c r="A16" s="87" t="s">
        <v>228</v>
      </c>
      <c r="B16" s="43"/>
      <c r="C16" s="43"/>
      <c r="D16" s="44"/>
      <c r="E16" s="45"/>
      <c r="F16" s="45"/>
      <c r="G16" s="38">
        <v>-13951.07</v>
      </c>
      <c r="H16" s="40"/>
      <c r="I16" s="40"/>
    </row>
    <row r="17" s="3" customFormat="1" ht="15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4.25">
      <c r="A19" s="163" t="s">
        <v>14</v>
      </c>
      <c r="B19" s="129" t="s">
        <v>15</v>
      </c>
      <c r="C19" s="175">
        <f>SUM(C20:C24)</f>
        <v>12.719999999999999</v>
      </c>
      <c r="D19" s="146">
        <v>348013.65</v>
      </c>
      <c r="E19" s="146">
        <v>292794.93</v>
      </c>
      <c r="F19" s="146">
        <f aca="true" t="shared" si="0" ref="F19:F27">D19</f>
        <v>348013.65</v>
      </c>
      <c r="G19" s="147">
        <f>E19-D19</f>
        <v>-55218.72000000003</v>
      </c>
      <c r="H19" s="70">
        <f aca="true" t="shared" si="1" ref="H19:H24">C19</f>
        <v>12.719999999999999</v>
      </c>
    </row>
    <row r="20" spans="1:9" s="3" customFormat="1" ht="15">
      <c r="A20" s="8" t="s">
        <v>16</v>
      </c>
      <c r="B20" s="9" t="s">
        <v>17</v>
      </c>
      <c r="C20" s="69">
        <v>3.22</v>
      </c>
      <c r="D20" s="67">
        <f>D19*I20</f>
        <v>88097.79504716984</v>
      </c>
      <c r="E20" s="67">
        <f>E19*I20</f>
        <v>74119.47127358492</v>
      </c>
      <c r="F20" s="67">
        <f t="shared" si="0"/>
        <v>88097.79504716984</v>
      </c>
      <c r="G20" s="68">
        <f aca="true" t="shared" si="2" ref="G20:G29">E20-D20</f>
        <v>-13978.323773584925</v>
      </c>
      <c r="H20" s="70">
        <f t="shared" si="1"/>
        <v>3.22</v>
      </c>
      <c r="I20" s="15">
        <f>H20/H19</f>
        <v>0.25314465408805037</v>
      </c>
    </row>
    <row r="21" spans="1:9" s="3" customFormat="1" ht="15">
      <c r="A21" s="8" t="s">
        <v>18</v>
      </c>
      <c r="B21" s="9" t="s">
        <v>19</v>
      </c>
      <c r="C21" s="244">
        <v>1.53</v>
      </c>
      <c r="D21" s="67">
        <f>D19*I21</f>
        <v>41860.13242924529</v>
      </c>
      <c r="E21" s="67">
        <f>E19*I21</f>
        <v>35218.25808962264</v>
      </c>
      <c r="F21" s="67">
        <f t="shared" si="0"/>
        <v>41860.13242924529</v>
      </c>
      <c r="G21" s="68">
        <f t="shared" si="2"/>
        <v>-6641.874339622649</v>
      </c>
      <c r="H21" s="70">
        <f t="shared" si="1"/>
        <v>1.53</v>
      </c>
      <c r="I21" s="15">
        <f>H21/H19</f>
        <v>0.12028301886792454</v>
      </c>
    </row>
    <row r="22" spans="1:9" s="3" customFormat="1" ht="15">
      <c r="A22" s="8" t="s">
        <v>20</v>
      </c>
      <c r="B22" s="9" t="s">
        <v>21</v>
      </c>
      <c r="C22" s="69">
        <v>1.89</v>
      </c>
      <c r="D22" s="67">
        <f>D19*I22</f>
        <v>51709.57535377359</v>
      </c>
      <c r="E22" s="67">
        <f>E19*I22</f>
        <v>43504.90705188679</v>
      </c>
      <c r="F22" s="67">
        <f t="shared" si="0"/>
        <v>51709.57535377359</v>
      </c>
      <c r="G22" s="68">
        <f t="shared" si="2"/>
        <v>-8204.668301886799</v>
      </c>
      <c r="H22" s="70">
        <f t="shared" si="1"/>
        <v>1.89</v>
      </c>
      <c r="I22" s="15">
        <f>H22/H19</f>
        <v>0.14858490566037735</v>
      </c>
    </row>
    <row r="23" spans="1:9" s="3" customFormat="1" ht="15">
      <c r="A23" s="8" t="s">
        <v>22</v>
      </c>
      <c r="B23" s="9" t="s">
        <v>23</v>
      </c>
      <c r="C23" s="69">
        <v>2.71</v>
      </c>
      <c r="D23" s="67">
        <f>D19*I23</f>
        <v>74144.41757075473</v>
      </c>
      <c r="E23" s="67">
        <f>E19*I23</f>
        <v>62380.05191037736</v>
      </c>
      <c r="F23" s="67">
        <f t="shared" si="0"/>
        <v>74144.41757075473</v>
      </c>
      <c r="G23" s="68">
        <f t="shared" si="2"/>
        <v>-11764.365660377363</v>
      </c>
      <c r="H23" s="70">
        <f t="shared" si="1"/>
        <v>2.71</v>
      </c>
      <c r="I23" s="15">
        <f>H23/H19</f>
        <v>0.2130503144654088</v>
      </c>
    </row>
    <row r="24" spans="1:9" s="3" customFormat="1" ht="15">
      <c r="A24" s="8" t="s">
        <v>24</v>
      </c>
      <c r="B24" s="9" t="s">
        <v>669</v>
      </c>
      <c r="C24" s="69">
        <v>3.37</v>
      </c>
      <c r="D24" s="67">
        <f>D19*I24</f>
        <v>92201.72959905662</v>
      </c>
      <c r="E24" s="67">
        <f>E19*I24</f>
        <v>77572.24167452831</v>
      </c>
      <c r="F24" s="67">
        <f>D24</f>
        <v>92201.72959905662</v>
      </c>
      <c r="G24" s="68">
        <f>E24-D24</f>
        <v>-14629.487924528308</v>
      </c>
      <c r="H24" s="70">
        <f t="shared" si="1"/>
        <v>3.37</v>
      </c>
      <c r="I24" s="15">
        <f>H24/H19</f>
        <v>0.264937106918239</v>
      </c>
    </row>
    <row r="25" spans="1:13" s="162" customFormat="1" ht="15">
      <c r="A25" s="129" t="s">
        <v>25</v>
      </c>
      <c r="B25" s="129" t="s">
        <v>26</v>
      </c>
      <c r="C25" s="175">
        <v>3.58</v>
      </c>
      <c r="D25" s="147">
        <v>97614.52</v>
      </c>
      <c r="E25" s="147">
        <v>96170.79</v>
      </c>
      <c r="F25" s="146">
        <f t="shared" si="0"/>
        <v>97614.52</v>
      </c>
      <c r="G25" s="147">
        <f t="shared" si="2"/>
        <v>-1443.7300000000105</v>
      </c>
      <c r="M25" s="196"/>
    </row>
    <row r="26" spans="1:13" s="162" customFormat="1" ht="15">
      <c r="A26" s="129" t="s">
        <v>27</v>
      </c>
      <c r="B26" s="129" t="s">
        <v>28</v>
      </c>
      <c r="C26" s="175">
        <v>4.6</v>
      </c>
      <c r="D26" s="147">
        <v>0</v>
      </c>
      <c r="E26" s="147">
        <v>10118.46</v>
      </c>
      <c r="F26" s="147">
        <f t="shared" si="0"/>
        <v>0</v>
      </c>
      <c r="G26" s="147">
        <f t="shared" si="2"/>
        <v>10118.46</v>
      </c>
      <c r="M26" s="196"/>
    </row>
    <row r="27" spans="1:13" s="162" customFormat="1" ht="15">
      <c r="A27" s="129" t="s">
        <v>29</v>
      </c>
      <c r="B27" s="129" t="s">
        <v>30</v>
      </c>
      <c r="C27" s="175">
        <v>0</v>
      </c>
      <c r="D27" s="147">
        <v>0</v>
      </c>
      <c r="E27" s="147">
        <v>0</v>
      </c>
      <c r="F27" s="147">
        <f t="shared" si="0"/>
        <v>0</v>
      </c>
      <c r="G27" s="147">
        <f t="shared" si="2"/>
        <v>0</v>
      </c>
      <c r="M27" s="196"/>
    </row>
    <row r="28" spans="1:13" s="162" customFormat="1" ht="15">
      <c r="A28" s="129" t="s">
        <v>31</v>
      </c>
      <c r="B28" s="129" t="s">
        <v>131</v>
      </c>
      <c r="C28" s="175">
        <v>1.92</v>
      </c>
      <c r="D28" s="147">
        <v>52530.27</v>
      </c>
      <c r="E28" s="147">
        <v>51731.33</v>
      </c>
      <c r="F28" s="153">
        <f>F42</f>
        <v>4717.8333</v>
      </c>
      <c r="G28" s="147">
        <f t="shared" si="2"/>
        <v>-798.939999999995</v>
      </c>
      <c r="M28" s="196"/>
    </row>
    <row r="29" spans="1:13" s="162" customFormat="1" ht="15">
      <c r="A29" s="129" t="s">
        <v>33</v>
      </c>
      <c r="B29" s="129" t="s">
        <v>34</v>
      </c>
      <c r="C29" s="198">
        <v>8.36</v>
      </c>
      <c r="D29" s="147">
        <v>0</v>
      </c>
      <c r="E29" s="147">
        <v>8565.09</v>
      </c>
      <c r="F29" s="153">
        <v>0</v>
      </c>
      <c r="G29" s="147">
        <f t="shared" si="2"/>
        <v>8565.09</v>
      </c>
      <c r="M29" s="196"/>
    </row>
    <row r="30" spans="1:13" s="162" customFormat="1" ht="15">
      <c r="A30" s="129" t="s">
        <v>35</v>
      </c>
      <c r="B30" s="129" t="s">
        <v>36</v>
      </c>
      <c r="C30" s="175">
        <f>SUM(C31:C34)</f>
        <v>0</v>
      </c>
      <c r="D30" s="147">
        <f>SUM(D31:D34)</f>
        <v>1388454.94</v>
      </c>
      <c r="E30" s="147">
        <f>SUM(E31:E34)</f>
        <v>1346915.5699999998</v>
      </c>
      <c r="F30" s="147">
        <f>SUM(F31:F34)</f>
        <v>1388454.94</v>
      </c>
      <c r="G30" s="147">
        <f>SUM(G31:G34)</f>
        <v>-41539.369999999995</v>
      </c>
      <c r="M30" s="196"/>
    </row>
    <row r="31" spans="1:7" ht="15">
      <c r="A31" s="9" t="s">
        <v>37</v>
      </c>
      <c r="B31" s="9" t="s">
        <v>251</v>
      </c>
      <c r="C31" s="194" t="s">
        <v>340</v>
      </c>
      <c r="D31" s="68">
        <v>368589.98</v>
      </c>
      <c r="E31" s="68">
        <v>356929.14</v>
      </c>
      <c r="F31" s="68">
        <f>D31</f>
        <v>368589.98</v>
      </c>
      <c r="G31" s="68">
        <f>E31-D31</f>
        <v>-11660.839999999967</v>
      </c>
    </row>
    <row r="32" spans="1:7" ht="15">
      <c r="A32" s="9" t="s">
        <v>39</v>
      </c>
      <c r="B32" s="9" t="s">
        <v>168</v>
      </c>
      <c r="C32" s="182" t="s">
        <v>314</v>
      </c>
      <c r="D32" s="68">
        <v>179947.58</v>
      </c>
      <c r="E32" s="68">
        <v>172911.09</v>
      </c>
      <c r="F32" s="68">
        <f>D32</f>
        <v>179947.58</v>
      </c>
      <c r="G32" s="68">
        <f>E32-D32</f>
        <v>-7036.489999999991</v>
      </c>
    </row>
    <row r="33" spans="1:13" s="97" customFormat="1" ht="15">
      <c r="A33" s="95" t="s">
        <v>42</v>
      </c>
      <c r="B33" s="95" t="s">
        <v>170</v>
      </c>
      <c r="C33" s="195" t="s">
        <v>335</v>
      </c>
      <c r="D33" s="96">
        <v>231917.89</v>
      </c>
      <c r="E33" s="96">
        <v>208081.14</v>
      </c>
      <c r="F33" s="96">
        <f>D33</f>
        <v>231917.89</v>
      </c>
      <c r="G33" s="96">
        <f>E33-D33</f>
        <v>-23836.75</v>
      </c>
      <c r="M33" s="99"/>
    </row>
    <row r="34" spans="1:13" s="97" customFormat="1" ht="15.75" thickBot="1">
      <c r="A34" s="95" t="s">
        <v>41</v>
      </c>
      <c r="B34" s="95" t="s">
        <v>43</v>
      </c>
      <c r="C34" s="195" t="s">
        <v>341</v>
      </c>
      <c r="D34" s="96">
        <v>607999.49</v>
      </c>
      <c r="E34" s="96">
        <v>608994.2</v>
      </c>
      <c r="F34" s="96">
        <f>D34</f>
        <v>607999.49</v>
      </c>
      <c r="G34" s="96">
        <f>E34-D34</f>
        <v>994.7099999999627</v>
      </c>
      <c r="M34" s="99"/>
    </row>
    <row r="35" spans="1:9" s="15" customFormat="1" ht="15.75" thickBot="1">
      <c r="A35" s="265" t="s">
        <v>299</v>
      </c>
      <c r="B35" s="266"/>
      <c r="C35" s="266"/>
      <c r="D35" s="73">
        <f>D13+D19+D25+D26+D27+D28+D29+D30-E19-E25-E26-E27-E28-E29-E30</f>
        <v>282645.51</v>
      </c>
      <c r="E35" s="39"/>
      <c r="F35" s="39"/>
      <c r="G35" s="39"/>
      <c r="H35" s="40"/>
      <c r="I35" s="40"/>
    </row>
    <row r="36" spans="1:9" s="15" customFormat="1" ht="9.75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G16+E29-F29</f>
        <v>-5385.98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G15+E28-F28</f>
        <v>49716.2367</v>
      </c>
      <c r="H38" s="40"/>
      <c r="I38" s="40"/>
    </row>
    <row r="39" spans="1:9" ht="35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5">
      <c r="A42" s="11" t="s">
        <v>47</v>
      </c>
      <c r="B42" s="287" t="s">
        <v>126</v>
      </c>
      <c r="C42" s="288"/>
      <c r="D42" s="157"/>
      <c r="E42" s="157"/>
      <c r="F42" s="295">
        <f>SUM(F43:L47)</f>
        <v>4717.8333</v>
      </c>
      <c r="G42" s="291"/>
    </row>
    <row r="43" spans="1:7" s="48" customFormat="1" ht="15" customHeight="1">
      <c r="A43" s="9" t="s">
        <v>16</v>
      </c>
      <c r="B43" s="271" t="s">
        <v>670</v>
      </c>
      <c r="C43" s="273"/>
      <c r="D43" s="158" t="s">
        <v>234</v>
      </c>
      <c r="E43" s="158">
        <v>0.01</v>
      </c>
      <c r="F43" s="308">
        <v>161.8</v>
      </c>
      <c r="G43" s="309"/>
    </row>
    <row r="44" spans="1:7" s="48" customFormat="1" ht="15" customHeight="1">
      <c r="A44" s="9" t="s">
        <v>18</v>
      </c>
      <c r="B44" s="271" t="s">
        <v>671</v>
      </c>
      <c r="C44" s="273"/>
      <c r="D44" s="158" t="s">
        <v>595</v>
      </c>
      <c r="E44" s="158">
        <v>1</v>
      </c>
      <c r="F44" s="294">
        <v>2648.98</v>
      </c>
      <c r="G44" s="294"/>
    </row>
    <row r="45" spans="1:7" s="48" customFormat="1" ht="15" customHeight="1">
      <c r="A45" s="9" t="s">
        <v>20</v>
      </c>
      <c r="B45" s="271" t="s">
        <v>672</v>
      </c>
      <c r="C45" s="273"/>
      <c r="D45" s="158" t="s">
        <v>234</v>
      </c>
      <c r="E45" s="158">
        <v>0.02</v>
      </c>
      <c r="F45" s="294">
        <v>909.74</v>
      </c>
      <c r="G45" s="294"/>
    </row>
    <row r="46" spans="1:7" s="48" customFormat="1" ht="15" customHeight="1">
      <c r="A46" s="9" t="s">
        <v>22</v>
      </c>
      <c r="B46" s="271" t="s">
        <v>601</v>
      </c>
      <c r="C46" s="273"/>
      <c r="D46" s="158" t="s">
        <v>234</v>
      </c>
      <c r="E46" s="158">
        <v>12</v>
      </c>
      <c r="F46" s="294">
        <v>480</v>
      </c>
      <c r="G46" s="294"/>
    </row>
    <row r="47" spans="1:7" s="48" customFormat="1" ht="15">
      <c r="A47" s="9" t="s">
        <v>24</v>
      </c>
      <c r="B47" s="131" t="s">
        <v>286</v>
      </c>
      <c r="C47" s="132"/>
      <c r="D47" s="158"/>
      <c r="E47" s="158"/>
      <c r="F47" s="294">
        <f>E28*1%</f>
        <v>517.3133</v>
      </c>
      <c r="G47" s="294"/>
    </row>
    <row r="48" spans="1:7" s="48" customFormat="1" ht="15">
      <c r="A48" s="3"/>
      <c r="B48" s="3"/>
      <c r="C48" s="3"/>
      <c r="D48" s="3"/>
      <c r="E48" s="3"/>
      <c r="F48" s="3"/>
      <c r="G48" s="3"/>
    </row>
    <row r="49" spans="1:7" s="48" customFormat="1" ht="15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</row>
    <row r="50" spans="1:7" s="48" customFormat="1" ht="15">
      <c r="A50" s="3"/>
      <c r="B50" s="3"/>
      <c r="C50" s="3"/>
      <c r="D50" s="3"/>
      <c r="E50" s="3"/>
      <c r="F50" s="4" t="s">
        <v>303</v>
      </c>
      <c r="G50" s="3"/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3">
    <mergeCell ref="F47:G47"/>
    <mergeCell ref="F43:G43"/>
    <mergeCell ref="F44:G44"/>
    <mergeCell ref="B43:C43"/>
    <mergeCell ref="B44:C44"/>
    <mergeCell ref="F42:G42"/>
    <mergeCell ref="B45:C45"/>
    <mergeCell ref="F45:G45"/>
    <mergeCell ref="B46:C46"/>
    <mergeCell ref="F46:G46"/>
    <mergeCell ref="A12:I12"/>
    <mergeCell ref="A13:C13"/>
    <mergeCell ref="A35:C35"/>
    <mergeCell ref="A39:I39"/>
    <mergeCell ref="F41:G41"/>
    <mergeCell ref="B41:C41"/>
    <mergeCell ref="B42:C42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50" sqref="F50:G50"/>
    </sheetView>
  </sheetViews>
  <sheetFormatPr defaultColWidth="9.140625" defaultRowHeight="15" outlineLevelCol="1"/>
  <cols>
    <col min="1" max="1" width="5.00390625" style="1" customWidth="1"/>
    <col min="2" max="2" width="48.28125" style="1" customWidth="1"/>
    <col min="3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7109375" style="0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F7" s="4" t="s">
        <v>165</v>
      </c>
    </row>
    <row r="8" spans="1:6" s="3" customFormat="1" ht="15">
      <c r="A8" s="3" t="s">
        <v>3</v>
      </c>
      <c r="F8" s="4" t="s">
        <v>166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5.75" thickBot="1">
      <c r="A13" s="265" t="s">
        <v>294</v>
      </c>
      <c r="B13" s="266"/>
      <c r="C13" s="266"/>
      <c r="D13" s="73">
        <v>288591.84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73">
        <v>-185242.5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8" s="165" customFormat="1" ht="14.25">
      <c r="A18" s="163" t="s">
        <v>14</v>
      </c>
      <c r="B18" s="129" t="s">
        <v>15</v>
      </c>
      <c r="C18" s="175">
        <f>SUM(C19:C23)</f>
        <v>12.719999999999999</v>
      </c>
      <c r="D18" s="146">
        <v>844663.8</v>
      </c>
      <c r="E18" s="146">
        <v>805097.99</v>
      </c>
      <c r="F18" s="146">
        <f aca="true" t="shared" si="0" ref="F18:F26">D18</f>
        <v>844663.8</v>
      </c>
      <c r="G18" s="147">
        <f aca="true" t="shared" si="1" ref="G18:G28">E18-D18</f>
        <v>-39565.810000000056</v>
      </c>
      <c r="H18" s="148">
        <f>C18</f>
        <v>12.719999999999999</v>
      </c>
    </row>
    <row r="19" spans="1:9" s="3" customFormat="1" ht="15">
      <c r="A19" s="8" t="s">
        <v>16</v>
      </c>
      <c r="B19" s="9" t="s">
        <v>17</v>
      </c>
      <c r="C19" s="69">
        <v>3.22</v>
      </c>
      <c r="D19" s="67">
        <f>D18*I19</f>
        <v>213822.12547169818</v>
      </c>
      <c r="E19" s="67">
        <f>E18*I19</f>
        <v>203806.25218553463</v>
      </c>
      <c r="F19" s="67">
        <f t="shared" si="0"/>
        <v>213822.12547169818</v>
      </c>
      <c r="G19" s="68">
        <f t="shared" si="1"/>
        <v>-10015.87328616355</v>
      </c>
      <c r="H19" s="143">
        <f>C19</f>
        <v>3.22</v>
      </c>
      <c r="I19" s="15">
        <f>H19/H18</f>
        <v>0.25314465408805037</v>
      </c>
    </row>
    <row r="20" spans="1:9" s="3" customFormat="1" ht="15">
      <c r="A20" s="8" t="s">
        <v>18</v>
      </c>
      <c r="B20" s="9" t="s">
        <v>19</v>
      </c>
      <c r="C20" s="244">
        <v>1.53</v>
      </c>
      <c r="D20" s="67">
        <f>D18*I20</f>
        <v>101598.71179245284</v>
      </c>
      <c r="E20" s="67">
        <f>E18*I20</f>
        <v>96839.61672169813</v>
      </c>
      <c r="F20" s="67">
        <f t="shared" si="0"/>
        <v>101598.71179245284</v>
      </c>
      <c r="G20" s="68">
        <f t="shared" si="1"/>
        <v>-4759.095070754716</v>
      </c>
      <c r="H20" s="143">
        <f>C20</f>
        <v>1.53</v>
      </c>
      <c r="I20" s="15">
        <f>H20/H18</f>
        <v>0.12028301886792454</v>
      </c>
    </row>
    <row r="21" spans="1:9" s="3" customFormat="1" ht="15">
      <c r="A21" s="8" t="s">
        <v>20</v>
      </c>
      <c r="B21" s="9" t="s">
        <v>21</v>
      </c>
      <c r="C21" s="69">
        <v>1.89</v>
      </c>
      <c r="D21" s="67">
        <f>D18*I21</f>
        <v>125504.29103773585</v>
      </c>
      <c r="E21" s="67">
        <f>E18*I21</f>
        <v>119625.40889150943</v>
      </c>
      <c r="F21" s="67">
        <f t="shared" si="0"/>
        <v>125504.29103773585</v>
      </c>
      <c r="G21" s="68">
        <f t="shared" si="1"/>
        <v>-5878.882146226417</v>
      </c>
      <c r="H21" s="143">
        <f>C21</f>
        <v>1.89</v>
      </c>
      <c r="I21" s="15">
        <f>H21/H18</f>
        <v>0.14858490566037735</v>
      </c>
    </row>
    <row r="22" spans="1:9" s="3" customFormat="1" ht="15">
      <c r="A22" s="8" t="s">
        <v>22</v>
      </c>
      <c r="B22" s="9" t="s">
        <v>23</v>
      </c>
      <c r="C22" s="69">
        <v>2.71</v>
      </c>
      <c r="D22" s="67">
        <f>D18*I22</f>
        <v>179955.8882075472</v>
      </c>
      <c r="E22" s="67">
        <f>E18*I22</f>
        <v>171526.37994496856</v>
      </c>
      <c r="F22" s="67">
        <f t="shared" si="0"/>
        <v>179955.8882075472</v>
      </c>
      <c r="G22" s="68">
        <f t="shared" si="1"/>
        <v>-8429.50826257863</v>
      </c>
      <c r="H22" s="143">
        <f>C22</f>
        <v>2.71</v>
      </c>
      <c r="I22" s="15">
        <f>H22/H18</f>
        <v>0.2130503144654088</v>
      </c>
    </row>
    <row r="23" spans="1:9" s="3" customFormat="1" ht="15">
      <c r="A23" s="8" t="s">
        <v>24</v>
      </c>
      <c r="B23" s="9" t="s">
        <v>669</v>
      </c>
      <c r="C23" s="69">
        <v>3.37</v>
      </c>
      <c r="D23" s="67">
        <f>D18*I23</f>
        <v>223782.78349056607</v>
      </c>
      <c r="E23" s="67">
        <f>E18*I23</f>
        <v>213300.33225628932</v>
      </c>
      <c r="F23" s="67">
        <f t="shared" si="0"/>
        <v>223782.78349056607</v>
      </c>
      <c r="G23" s="68">
        <f t="shared" si="1"/>
        <v>-10482.451234276756</v>
      </c>
      <c r="H23" s="143">
        <v>3.37</v>
      </c>
      <c r="I23" s="15">
        <f>H23/H18</f>
        <v>0.264937106918239</v>
      </c>
    </row>
    <row r="24" spans="1:13" s="162" customFormat="1" ht="15">
      <c r="A24" s="129" t="s">
        <v>25</v>
      </c>
      <c r="B24" s="129" t="s">
        <v>26</v>
      </c>
      <c r="C24" s="175">
        <v>3.58</v>
      </c>
      <c r="D24" s="147">
        <v>237407.8</v>
      </c>
      <c r="E24" s="147">
        <v>239994.82</v>
      </c>
      <c r="F24" s="146">
        <f t="shared" si="0"/>
        <v>237407.8</v>
      </c>
      <c r="G24" s="147">
        <f t="shared" si="1"/>
        <v>2587.0200000000186</v>
      </c>
      <c r="M24" s="196"/>
    </row>
    <row r="25" spans="1:13" s="162" customFormat="1" ht="15">
      <c r="A25" s="129" t="s">
        <v>27</v>
      </c>
      <c r="B25" s="129" t="s">
        <v>28</v>
      </c>
      <c r="C25" s="175">
        <v>4.6</v>
      </c>
      <c r="D25" s="147">
        <v>0</v>
      </c>
      <c r="E25" s="147">
        <v>20396.24</v>
      </c>
      <c r="F25" s="147">
        <f t="shared" si="0"/>
        <v>0</v>
      </c>
      <c r="G25" s="147">
        <f t="shared" si="1"/>
        <v>20396.24</v>
      </c>
      <c r="M25" s="196"/>
    </row>
    <row r="26" spans="1:13" s="162" customFormat="1" ht="15">
      <c r="A26" s="129" t="s">
        <v>29</v>
      </c>
      <c r="B26" s="129" t="s">
        <v>30</v>
      </c>
      <c r="C26" s="175">
        <v>0</v>
      </c>
      <c r="D26" s="147">
        <v>0</v>
      </c>
      <c r="E26" s="147">
        <v>0</v>
      </c>
      <c r="F26" s="147">
        <f t="shared" si="0"/>
        <v>0</v>
      </c>
      <c r="G26" s="147">
        <f t="shared" si="1"/>
        <v>0</v>
      </c>
      <c r="M26" s="196"/>
    </row>
    <row r="27" spans="1:13" s="162" customFormat="1" ht="15">
      <c r="A27" s="129" t="s">
        <v>31</v>
      </c>
      <c r="B27" s="129" t="s">
        <v>131</v>
      </c>
      <c r="C27" s="175">
        <v>1.92</v>
      </c>
      <c r="D27" s="147">
        <v>127496.28</v>
      </c>
      <c r="E27" s="147">
        <v>129006.33</v>
      </c>
      <c r="F27" s="153">
        <f>F41</f>
        <v>209368.88330000002</v>
      </c>
      <c r="G27" s="147">
        <f t="shared" si="1"/>
        <v>1510.050000000003</v>
      </c>
      <c r="M27" s="255"/>
    </row>
    <row r="28" spans="1:13" s="162" customFormat="1" ht="15">
      <c r="A28" s="129" t="s">
        <v>33</v>
      </c>
      <c r="B28" s="129" t="s">
        <v>230</v>
      </c>
      <c r="C28" s="198">
        <v>0</v>
      </c>
      <c r="D28" s="147">
        <v>0</v>
      </c>
      <c r="E28" s="147">
        <v>0</v>
      </c>
      <c r="F28" s="153">
        <f>D28</f>
        <v>0</v>
      </c>
      <c r="G28" s="147">
        <f t="shared" si="1"/>
        <v>0</v>
      </c>
      <c r="M28" s="196"/>
    </row>
    <row r="29" spans="1:13" s="162" customFormat="1" ht="15">
      <c r="A29" s="129" t="s">
        <v>35</v>
      </c>
      <c r="B29" s="129" t="s">
        <v>36</v>
      </c>
      <c r="C29" s="175">
        <f>SUM(C30:C33)</f>
        <v>0</v>
      </c>
      <c r="D29" s="147">
        <f>SUM(D30:D33)</f>
        <v>3319279.0300000003</v>
      </c>
      <c r="E29" s="147">
        <f>SUM(E30:E33)</f>
        <v>3357266.2800000003</v>
      </c>
      <c r="F29" s="147">
        <f>SUM(F30:F33)</f>
        <v>3319279.0300000003</v>
      </c>
      <c r="G29" s="147">
        <f>SUM(G30:G33)</f>
        <v>37987.24999999994</v>
      </c>
      <c r="M29" s="196"/>
    </row>
    <row r="30" spans="1:7" ht="15">
      <c r="A30" s="9" t="s">
        <v>37</v>
      </c>
      <c r="B30" s="9" t="s">
        <v>251</v>
      </c>
      <c r="C30" s="194" t="s">
        <v>340</v>
      </c>
      <c r="D30" s="68">
        <v>927354.18</v>
      </c>
      <c r="E30" s="68">
        <v>931543.52</v>
      </c>
      <c r="F30" s="68">
        <f>D30</f>
        <v>927354.18</v>
      </c>
      <c r="G30" s="68">
        <f>E30-D30</f>
        <v>4189.339999999967</v>
      </c>
    </row>
    <row r="31" spans="1:7" ht="15">
      <c r="A31" s="9" t="s">
        <v>39</v>
      </c>
      <c r="B31" s="9" t="s">
        <v>168</v>
      </c>
      <c r="C31" s="182" t="s">
        <v>314</v>
      </c>
      <c r="D31" s="68">
        <v>385632.44</v>
      </c>
      <c r="E31" s="68">
        <v>395772.38</v>
      </c>
      <c r="F31" s="68">
        <f>D31</f>
        <v>385632.44</v>
      </c>
      <c r="G31" s="68">
        <f>E31-D31</f>
        <v>10139.940000000002</v>
      </c>
    </row>
    <row r="32" spans="1:7" ht="15">
      <c r="A32" s="9" t="s">
        <v>42</v>
      </c>
      <c r="B32" s="9" t="s">
        <v>170</v>
      </c>
      <c r="C32" s="195" t="s">
        <v>335</v>
      </c>
      <c r="D32" s="68">
        <v>635160.3</v>
      </c>
      <c r="E32" s="68">
        <v>643111.55</v>
      </c>
      <c r="F32" s="68">
        <f>D32</f>
        <v>635160.3</v>
      </c>
      <c r="G32" s="68">
        <f>E32-D32</f>
        <v>7951.25</v>
      </c>
    </row>
    <row r="33" spans="1:7" ht="15">
      <c r="A33" s="9" t="s">
        <v>41</v>
      </c>
      <c r="B33" s="9" t="s">
        <v>43</v>
      </c>
      <c r="C33" s="195" t="s">
        <v>341</v>
      </c>
      <c r="D33" s="68">
        <v>1371132.11</v>
      </c>
      <c r="E33" s="68">
        <v>1386838.83</v>
      </c>
      <c r="F33" s="68">
        <f>D33</f>
        <v>1371132.11</v>
      </c>
      <c r="G33" s="68">
        <f>E33-D33</f>
        <v>15706.719999999972</v>
      </c>
    </row>
    <row r="34" spans="1:10" s="20" customFormat="1" ht="14.25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D13+D18+D24+D25+D26+D27+D28+D29-E18-E24-E25-E26-E27-E28-E29</f>
        <v>265677.0899999994</v>
      </c>
      <c r="E35" s="39"/>
      <c r="F35" s="39"/>
      <c r="G35" s="39"/>
      <c r="H35" s="40"/>
      <c r="I35" s="40"/>
    </row>
    <row r="36" spans="1:9" s="15" customFormat="1" ht="9.75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301</v>
      </c>
      <c r="B37" s="43"/>
      <c r="C37" s="43"/>
      <c r="D37" s="44"/>
      <c r="E37" s="45"/>
      <c r="F37" s="45"/>
      <c r="G37" s="38">
        <f>G15+E27-F27</f>
        <v>-265605.0533</v>
      </c>
      <c r="H37" s="40"/>
      <c r="I37" s="40"/>
    </row>
    <row r="38" spans="1:9" ht="35.25" customHeight="1">
      <c r="A38" s="316" t="s">
        <v>44</v>
      </c>
      <c r="B38" s="316"/>
      <c r="C38" s="316"/>
      <c r="D38" s="316"/>
      <c r="E38" s="316"/>
      <c r="F38" s="316"/>
      <c r="G38" s="316"/>
      <c r="H38" s="316"/>
      <c r="I38" s="316"/>
    </row>
    <row r="40" spans="1:7" s="7" customFormat="1" ht="28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</row>
    <row r="41" spans="1:7" s="12" customFormat="1" ht="15">
      <c r="A41" s="11" t="s">
        <v>47</v>
      </c>
      <c r="B41" s="287" t="s">
        <v>126</v>
      </c>
      <c r="C41" s="288"/>
      <c r="D41" s="157"/>
      <c r="E41" s="157"/>
      <c r="F41" s="295">
        <f>SUM(F42:G52)</f>
        <v>209368.88330000002</v>
      </c>
      <c r="G41" s="291"/>
    </row>
    <row r="42" spans="1:7" s="48" customFormat="1" ht="15" customHeight="1">
      <c r="A42" s="9" t="s">
        <v>16</v>
      </c>
      <c r="B42" s="271" t="s">
        <v>673</v>
      </c>
      <c r="C42" s="273"/>
      <c r="D42" s="158" t="s">
        <v>233</v>
      </c>
      <c r="E42" s="226">
        <v>0.0025</v>
      </c>
      <c r="F42" s="308">
        <v>270.18</v>
      </c>
      <c r="G42" s="309"/>
    </row>
    <row r="43" spans="1:7" s="48" customFormat="1" ht="15" customHeight="1">
      <c r="A43" s="9" t="s">
        <v>18</v>
      </c>
      <c r="B43" s="271" t="s">
        <v>674</v>
      </c>
      <c r="C43" s="273"/>
      <c r="D43" s="158" t="s">
        <v>234</v>
      </c>
      <c r="E43" s="158">
        <v>1</v>
      </c>
      <c r="F43" s="294">
        <v>28471.12</v>
      </c>
      <c r="G43" s="294"/>
    </row>
    <row r="44" spans="1:7" s="48" customFormat="1" ht="15" customHeight="1">
      <c r="A44" s="9" t="s">
        <v>20</v>
      </c>
      <c r="B44" s="271" t="s">
        <v>673</v>
      </c>
      <c r="C44" s="272"/>
      <c r="D44" s="158" t="s">
        <v>233</v>
      </c>
      <c r="E44" s="226">
        <v>0.0025</v>
      </c>
      <c r="F44" s="294">
        <v>270.18</v>
      </c>
      <c r="G44" s="294"/>
    </row>
    <row r="45" spans="1:7" s="48" customFormat="1" ht="15" customHeight="1">
      <c r="A45" s="9" t="s">
        <v>22</v>
      </c>
      <c r="B45" s="271" t="s">
        <v>677</v>
      </c>
      <c r="C45" s="272"/>
      <c r="D45" s="158" t="s">
        <v>595</v>
      </c>
      <c r="E45" s="158">
        <v>1</v>
      </c>
      <c r="F45" s="294">
        <v>2648.98</v>
      </c>
      <c r="G45" s="294"/>
    </row>
    <row r="46" spans="1:7" s="48" customFormat="1" ht="15" customHeight="1">
      <c r="A46" s="9" t="s">
        <v>24</v>
      </c>
      <c r="B46" s="271" t="s">
        <v>647</v>
      </c>
      <c r="C46" s="272"/>
      <c r="D46" s="158" t="s">
        <v>234</v>
      </c>
      <c r="E46" s="158">
        <v>2</v>
      </c>
      <c r="F46" s="294">
        <v>1507.22</v>
      </c>
      <c r="G46" s="294"/>
    </row>
    <row r="47" spans="1:7" s="48" customFormat="1" ht="15" customHeight="1">
      <c r="A47" s="9" t="s">
        <v>116</v>
      </c>
      <c r="B47" s="271" t="s">
        <v>601</v>
      </c>
      <c r="C47" s="272"/>
      <c r="D47" s="158" t="s">
        <v>234</v>
      </c>
      <c r="E47" s="158">
        <v>36</v>
      </c>
      <c r="F47" s="294">
        <v>1200</v>
      </c>
      <c r="G47" s="294"/>
    </row>
    <row r="48" spans="1:7" s="48" customFormat="1" ht="15" customHeight="1">
      <c r="A48" s="9" t="s">
        <v>117</v>
      </c>
      <c r="B48" s="271" t="s">
        <v>675</v>
      </c>
      <c r="C48" s="272"/>
      <c r="D48" s="158" t="s">
        <v>234</v>
      </c>
      <c r="E48" s="158">
        <v>1</v>
      </c>
      <c r="F48" s="294">
        <v>14500</v>
      </c>
      <c r="G48" s="294"/>
    </row>
    <row r="49" spans="1:7" s="48" customFormat="1" ht="15" customHeight="1">
      <c r="A49" s="9" t="s">
        <v>132</v>
      </c>
      <c r="B49" s="271" t="s">
        <v>248</v>
      </c>
      <c r="C49" s="272"/>
      <c r="D49" s="158" t="s">
        <v>238</v>
      </c>
      <c r="E49" s="158">
        <v>6</v>
      </c>
      <c r="F49" s="294">
        <v>135471.14</v>
      </c>
      <c r="G49" s="294"/>
    </row>
    <row r="50" spans="1:7" s="48" customFormat="1" ht="15" customHeight="1">
      <c r="A50" s="9" t="s">
        <v>133</v>
      </c>
      <c r="B50" s="271" t="s">
        <v>676</v>
      </c>
      <c r="C50" s="272"/>
      <c r="D50" s="158" t="s">
        <v>461</v>
      </c>
      <c r="E50" s="158">
        <v>0.256</v>
      </c>
      <c r="F50" s="294">
        <v>13740</v>
      </c>
      <c r="G50" s="294"/>
    </row>
    <row r="51" spans="1:7" s="48" customFormat="1" ht="15" customHeight="1">
      <c r="A51" s="9" t="s">
        <v>719</v>
      </c>
      <c r="B51" s="271" t="s">
        <v>718</v>
      </c>
      <c r="C51" s="273"/>
      <c r="D51" s="158"/>
      <c r="E51" s="158"/>
      <c r="F51" s="308">
        <v>10000</v>
      </c>
      <c r="G51" s="309"/>
    </row>
    <row r="52" spans="1:7" s="48" customFormat="1" ht="15" customHeight="1">
      <c r="A52" s="9" t="s">
        <v>134</v>
      </c>
      <c r="B52" s="171" t="s">
        <v>286</v>
      </c>
      <c r="C52" s="172"/>
      <c r="D52" s="199"/>
      <c r="E52" s="199"/>
      <c r="F52" s="296">
        <f>E27*1%</f>
        <v>1290.0633</v>
      </c>
      <c r="G52" s="296"/>
    </row>
    <row r="53" spans="1:7" s="48" customFormat="1" ht="15">
      <c r="A53" s="50"/>
      <c r="B53" s="51"/>
      <c r="C53" s="51"/>
      <c r="D53" s="51"/>
      <c r="E53" s="51"/>
      <c r="F53" s="52"/>
      <c r="G53" s="52"/>
    </row>
    <row r="54" s="3" customFormat="1" ht="15"/>
    <row r="55" spans="1:6" s="3" customFormat="1" ht="15">
      <c r="A55" s="3" t="s">
        <v>55</v>
      </c>
      <c r="C55" s="3" t="s">
        <v>49</v>
      </c>
      <c r="F55" s="3" t="s">
        <v>102</v>
      </c>
    </row>
    <row r="56" s="3" customFormat="1" ht="15">
      <c r="F56" s="4" t="s">
        <v>303</v>
      </c>
    </row>
    <row r="57" s="3" customFormat="1" ht="15">
      <c r="A57" s="3" t="s">
        <v>50</v>
      </c>
    </row>
    <row r="58" spans="3:7" s="3" customFormat="1" ht="15">
      <c r="C58" s="14" t="s">
        <v>51</v>
      </c>
      <c r="E58" s="14"/>
      <c r="F58" s="14"/>
      <c r="G58" s="14"/>
    </row>
    <row r="59" s="3" customFormat="1" ht="15"/>
    <row r="60" s="3" customFormat="1" ht="15"/>
  </sheetData>
  <sheetProtection/>
  <mergeCells count="35">
    <mergeCell ref="F51:G51"/>
    <mergeCell ref="B51:C51"/>
    <mergeCell ref="B48:C48"/>
    <mergeCell ref="F48:G48"/>
    <mergeCell ref="B49:C49"/>
    <mergeCell ref="F49:G49"/>
    <mergeCell ref="B50:C50"/>
    <mergeCell ref="F50:G50"/>
    <mergeCell ref="A12:I12"/>
    <mergeCell ref="F40:G40"/>
    <mergeCell ref="F43:G43"/>
    <mergeCell ref="A11:I11"/>
    <mergeCell ref="A1:I1"/>
    <mergeCell ref="A2:I2"/>
    <mergeCell ref="A3:K3"/>
    <mergeCell ref="A5:I5"/>
    <mergeCell ref="A10:I10"/>
    <mergeCell ref="A13:C13"/>
    <mergeCell ref="F44:G44"/>
    <mergeCell ref="F41:G41"/>
    <mergeCell ref="F42:G42"/>
    <mergeCell ref="A35:C35"/>
    <mergeCell ref="B40:C40"/>
    <mergeCell ref="B41:C41"/>
    <mergeCell ref="B44:C44"/>
    <mergeCell ref="F52:G52"/>
    <mergeCell ref="A38:I38"/>
    <mergeCell ref="B45:C45"/>
    <mergeCell ref="F45:G45"/>
    <mergeCell ref="B46:C46"/>
    <mergeCell ref="F46:G46"/>
    <mergeCell ref="B47:C47"/>
    <mergeCell ref="F47:G47"/>
    <mergeCell ref="B42:C42"/>
    <mergeCell ref="B43:C4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21" sqref="E21"/>
    </sheetView>
  </sheetViews>
  <sheetFormatPr defaultColWidth="9.140625" defaultRowHeight="15" outlineLevelCol="1"/>
  <cols>
    <col min="1" max="1" width="5.00390625" style="1" customWidth="1"/>
    <col min="2" max="2" width="48.7109375" style="1" customWidth="1"/>
    <col min="3" max="3" width="12.7109375" style="107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5">
      <c r="A4" s="2"/>
      <c r="B4" s="2"/>
      <c r="C4" s="100"/>
      <c r="D4" s="2"/>
      <c r="E4" s="2"/>
      <c r="F4" s="2"/>
      <c r="G4" s="2"/>
      <c r="H4" s="2"/>
      <c r="I4" s="2"/>
    </row>
    <row r="5" spans="1:9" ht="15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6" s="3" customFormat="1" ht="15">
      <c r="A7" s="3" t="s">
        <v>2</v>
      </c>
      <c r="C7" s="101"/>
      <c r="F7" s="4" t="s">
        <v>191</v>
      </c>
    </row>
    <row r="8" spans="1:6" s="3" customFormat="1" ht="15">
      <c r="A8" s="3" t="s">
        <v>3</v>
      </c>
      <c r="C8" s="101"/>
      <c r="F8" s="108" t="s">
        <v>198</v>
      </c>
    </row>
    <row r="9" s="3" customFormat="1" ht="15">
      <c r="C9" s="101"/>
    </row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3" customFormat="1" ht="15.75" thickBot="1">
      <c r="A13" s="265" t="s">
        <v>294</v>
      </c>
      <c r="B13" s="324"/>
      <c r="C13" s="324"/>
      <c r="D13" s="109">
        <v>706478.11</v>
      </c>
      <c r="E13" s="83"/>
      <c r="F13" s="83"/>
      <c r="G13" s="83"/>
      <c r="H13" s="86"/>
      <c r="I13" s="86"/>
    </row>
    <row r="14" spans="1:9" s="3" customFormat="1" ht="15.75" thickBot="1">
      <c r="A14" s="89"/>
      <c r="B14" s="89"/>
      <c r="C14" s="102"/>
      <c r="D14" s="90"/>
      <c r="E14" s="83"/>
      <c r="F14" s="83"/>
      <c r="G14" s="83"/>
      <c r="H14" s="86"/>
      <c r="I14" s="86"/>
    </row>
    <row r="15" spans="1:9" s="3" customFormat="1" ht="15.75" thickBot="1">
      <c r="A15" s="87" t="s">
        <v>229</v>
      </c>
      <c r="B15" s="88"/>
      <c r="C15" s="103"/>
      <c r="D15" s="91"/>
      <c r="E15" s="84"/>
      <c r="F15" s="84"/>
      <c r="G15" s="79">
        <v>48623.27</v>
      </c>
      <c r="H15" s="86"/>
      <c r="I15" s="86"/>
    </row>
    <row r="16" s="3" customFormat="1" ht="15">
      <c r="C16" s="101"/>
    </row>
    <row r="17" spans="1:7" s="18" customFormat="1" ht="38.25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8" s="165" customFormat="1" ht="14.25">
      <c r="A18" s="163" t="s">
        <v>14</v>
      </c>
      <c r="B18" s="129" t="s">
        <v>15</v>
      </c>
      <c r="C18" s="200">
        <f>C19+C20+C21+C22+C24+C23</f>
        <v>19.87</v>
      </c>
      <c r="D18" s="146">
        <v>696170.23</v>
      </c>
      <c r="E18" s="146">
        <f>7.57+633048.29</f>
        <v>633055.86</v>
      </c>
      <c r="F18" s="146">
        <f aca="true" t="shared" si="0" ref="F18:F27">D18</f>
        <v>696170.23</v>
      </c>
      <c r="G18" s="147">
        <f>E18-D18</f>
        <v>-63114.369999999995</v>
      </c>
      <c r="H18" s="70">
        <f>C18</f>
        <v>19.87</v>
      </c>
    </row>
    <row r="19" spans="1:9" s="3" customFormat="1" ht="15">
      <c r="A19" s="8" t="s">
        <v>16</v>
      </c>
      <c r="B19" s="9" t="s">
        <v>17</v>
      </c>
      <c r="C19" s="104">
        <v>3.22</v>
      </c>
      <c r="D19" s="67">
        <f>D18*I19</f>
        <v>112816.71568193256</v>
      </c>
      <c r="E19" s="67">
        <f>E18*I19</f>
        <v>102588.82079516859</v>
      </c>
      <c r="F19" s="67">
        <f t="shared" si="0"/>
        <v>112816.71568193256</v>
      </c>
      <c r="G19" s="68">
        <f aca="true" t="shared" si="1" ref="G19:G29">E19-D19</f>
        <v>-10227.89488676397</v>
      </c>
      <c r="H19" s="70">
        <f aca="true" t="shared" si="2" ref="H19:H24">C19</f>
        <v>3.22</v>
      </c>
      <c r="I19" s="3">
        <f>H19/H18</f>
        <v>0.16205334675390035</v>
      </c>
    </row>
    <row r="20" spans="1:9" s="3" customFormat="1" ht="15">
      <c r="A20" s="8" t="s">
        <v>18</v>
      </c>
      <c r="B20" s="9" t="s">
        <v>19</v>
      </c>
      <c r="C20" s="217">
        <v>1.53</v>
      </c>
      <c r="D20" s="67">
        <f>D18*I20</f>
        <v>53605.458072471054</v>
      </c>
      <c r="E20" s="67">
        <f>E18*I20</f>
        <v>48745.61981882234</v>
      </c>
      <c r="F20" s="67">
        <f t="shared" si="0"/>
        <v>53605.458072471054</v>
      </c>
      <c r="G20" s="68">
        <f t="shared" si="1"/>
        <v>-4859.8382536487115</v>
      </c>
      <c r="H20" s="70">
        <f t="shared" si="2"/>
        <v>1.53</v>
      </c>
      <c r="I20" s="3">
        <f>H20/H18</f>
        <v>0.0770005032712632</v>
      </c>
    </row>
    <row r="21" spans="1:9" s="3" customFormat="1" ht="15">
      <c r="A21" s="8" t="s">
        <v>20</v>
      </c>
      <c r="B21" s="9" t="s">
        <v>21</v>
      </c>
      <c r="C21" s="217">
        <f>1.25+0.14+0.5</f>
        <v>1.8900000000000001</v>
      </c>
      <c r="D21" s="67">
        <f>D18*I21</f>
        <v>66218.50703069955</v>
      </c>
      <c r="E21" s="67">
        <f>E18*I21</f>
        <v>60215.17742325113</v>
      </c>
      <c r="F21" s="67">
        <f t="shared" si="0"/>
        <v>66218.50703069955</v>
      </c>
      <c r="G21" s="68">
        <f t="shared" si="1"/>
        <v>-6003.329607448417</v>
      </c>
      <c r="H21" s="70">
        <f t="shared" si="2"/>
        <v>1.8900000000000001</v>
      </c>
      <c r="I21" s="3">
        <f>H21/H18</f>
        <v>0.09511826874685456</v>
      </c>
    </row>
    <row r="22" spans="1:9" s="3" customFormat="1" ht="15">
      <c r="A22" s="8" t="s">
        <v>22</v>
      </c>
      <c r="B22" s="9" t="s">
        <v>23</v>
      </c>
      <c r="C22" s="217">
        <v>2.71</v>
      </c>
      <c r="D22" s="67">
        <f>D18*I22</f>
        <v>94948.22965777555</v>
      </c>
      <c r="E22" s="67">
        <f>E18*I22</f>
        <v>86340.28085556116</v>
      </c>
      <c r="F22" s="67">
        <f t="shared" si="0"/>
        <v>94948.22965777555</v>
      </c>
      <c r="G22" s="68">
        <f>E22-D22</f>
        <v>-8607.948802214392</v>
      </c>
      <c r="H22" s="70">
        <f t="shared" si="2"/>
        <v>2.71</v>
      </c>
      <c r="I22" s="3">
        <f>H22/H18</f>
        <v>0.13638651233014595</v>
      </c>
    </row>
    <row r="23" spans="1:9" s="3" customFormat="1" ht="15">
      <c r="A23" s="8" t="s">
        <v>24</v>
      </c>
      <c r="B23" s="9" t="s">
        <v>197</v>
      </c>
      <c r="C23" s="217">
        <v>3.37</v>
      </c>
      <c r="D23" s="67">
        <f>D18*I23</f>
        <v>118072.1527478611</v>
      </c>
      <c r="E23" s="67">
        <f>E18*I23</f>
        <v>107367.80313034725</v>
      </c>
      <c r="F23" s="67">
        <f>D23</f>
        <v>118072.1527478611</v>
      </c>
      <c r="G23" s="68">
        <f>E23-D23</f>
        <v>-10704.349617513843</v>
      </c>
      <c r="H23" s="70">
        <f t="shared" si="2"/>
        <v>3.37</v>
      </c>
      <c r="I23" s="3">
        <f>H23/H18</f>
        <v>0.1696024157020634</v>
      </c>
    </row>
    <row r="24" spans="1:9" s="3" customFormat="1" ht="15">
      <c r="A24" s="8" t="s">
        <v>116</v>
      </c>
      <c r="B24" s="9" t="s">
        <v>196</v>
      </c>
      <c r="C24" s="217">
        <v>7.15</v>
      </c>
      <c r="D24" s="67">
        <f>D18*I24</f>
        <v>250509.16680926018</v>
      </c>
      <c r="E24" s="67">
        <f>E18*I24</f>
        <v>227798.15797684953</v>
      </c>
      <c r="F24" s="67">
        <f t="shared" si="0"/>
        <v>250509.16680926018</v>
      </c>
      <c r="G24" s="68">
        <f>E24-D24</f>
        <v>-22711.008832410647</v>
      </c>
      <c r="H24" s="70">
        <f t="shared" si="2"/>
        <v>7.15</v>
      </c>
      <c r="I24" s="3">
        <f>H24/H18</f>
        <v>0.3598389531957725</v>
      </c>
    </row>
    <row r="25" spans="1:13" s="162" customFormat="1" ht="15">
      <c r="A25" s="129" t="s">
        <v>25</v>
      </c>
      <c r="B25" s="129" t="s">
        <v>26</v>
      </c>
      <c r="C25" s="173">
        <v>3.58</v>
      </c>
      <c r="D25" s="147">
        <v>190364.63</v>
      </c>
      <c r="E25" s="147">
        <v>167642.84</v>
      </c>
      <c r="F25" s="146">
        <f t="shared" si="0"/>
        <v>190364.63</v>
      </c>
      <c r="G25" s="147">
        <f t="shared" si="1"/>
        <v>-22721.790000000008</v>
      </c>
      <c r="M25" s="196"/>
    </row>
    <row r="26" spans="1:13" s="162" customFormat="1" ht="15">
      <c r="A26" s="129" t="s">
        <v>27</v>
      </c>
      <c r="B26" s="129" t="s">
        <v>28</v>
      </c>
      <c r="C26" s="173">
        <v>0</v>
      </c>
      <c r="D26" s="147">
        <v>0</v>
      </c>
      <c r="E26" s="147">
        <v>13395.09</v>
      </c>
      <c r="F26" s="147">
        <f t="shared" si="0"/>
        <v>0</v>
      </c>
      <c r="G26" s="147">
        <f t="shared" si="1"/>
        <v>13395.09</v>
      </c>
      <c r="M26" s="196"/>
    </row>
    <row r="27" spans="1:13" s="162" customFormat="1" ht="15">
      <c r="A27" s="129" t="s">
        <v>29</v>
      </c>
      <c r="B27" s="129" t="s">
        <v>230</v>
      </c>
      <c r="C27" s="173">
        <v>0</v>
      </c>
      <c r="D27" s="147">
        <v>0</v>
      </c>
      <c r="E27" s="147">
        <v>0</v>
      </c>
      <c r="F27" s="147">
        <f t="shared" si="0"/>
        <v>0</v>
      </c>
      <c r="G27" s="147">
        <f t="shared" si="1"/>
        <v>0</v>
      </c>
      <c r="M27" s="196"/>
    </row>
    <row r="28" spans="1:13" s="162" customFormat="1" ht="15">
      <c r="A28" s="129" t="s">
        <v>31</v>
      </c>
      <c r="B28" s="129" t="s">
        <v>131</v>
      </c>
      <c r="C28" s="173">
        <v>1.92</v>
      </c>
      <c r="D28" s="147">
        <v>111553.66</v>
      </c>
      <c r="E28" s="147">
        <v>98345.87</v>
      </c>
      <c r="F28" s="153">
        <f>F42</f>
        <v>193142.03869999998</v>
      </c>
      <c r="G28" s="147">
        <f t="shared" si="1"/>
        <v>-13207.790000000008</v>
      </c>
      <c r="M28" s="196"/>
    </row>
    <row r="29" spans="1:13" s="162" customFormat="1" ht="15">
      <c r="A29" s="129" t="s">
        <v>33</v>
      </c>
      <c r="B29" s="129" t="s">
        <v>34</v>
      </c>
      <c r="C29" s="173">
        <v>0</v>
      </c>
      <c r="D29" s="147">
        <v>0</v>
      </c>
      <c r="E29" s="147">
        <v>0</v>
      </c>
      <c r="F29" s="153">
        <v>0</v>
      </c>
      <c r="G29" s="147">
        <f t="shared" si="1"/>
        <v>0</v>
      </c>
      <c r="M29" s="196"/>
    </row>
    <row r="30" spans="1:13" s="162" customFormat="1" ht="15">
      <c r="A30" s="129" t="s">
        <v>35</v>
      </c>
      <c r="B30" s="129" t="s">
        <v>36</v>
      </c>
      <c r="C30" s="173"/>
      <c r="D30" s="147">
        <f>SUM(D31:D34)</f>
        <v>2117952.59</v>
      </c>
      <c r="E30" s="147">
        <f>SUM(E31:E34)</f>
        <v>2012833.5299999998</v>
      </c>
      <c r="F30" s="147">
        <f>SUM(F31:F34)</f>
        <v>2117952.59</v>
      </c>
      <c r="G30" s="147">
        <f>SUM(G31:G34)</f>
        <v>-105119.06000000006</v>
      </c>
      <c r="M30" s="196"/>
    </row>
    <row r="31" spans="1:7" ht="15">
      <c r="A31" s="9" t="s">
        <v>37</v>
      </c>
      <c r="B31" s="9" t="s">
        <v>251</v>
      </c>
      <c r="C31" s="201" t="s">
        <v>340</v>
      </c>
      <c r="D31" s="68">
        <v>560387.14</v>
      </c>
      <c r="E31" s="68">
        <v>548963.82</v>
      </c>
      <c r="F31" s="68">
        <f>D31</f>
        <v>560387.14</v>
      </c>
      <c r="G31" s="68">
        <f>E31-D31</f>
        <v>-11423.320000000065</v>
      </c>
    </row>
    <row r="32" spans="1:7" ht="15">
      <c r="A32" s="9" t="s">
        <v>39</v>
      </c>
      <c r="B32" s="9" t="s">
        <v>168</v>
      </c>
      <c r="C32" s="182" t="s">
        <v>314</v>
      </c>
      <c r="D32" s="68">
        <v>374673.62</v>
      </c>
      <c r="E32" s="68">
        <v>372724.72</v>
      </c>
      <c r="F32" s="68">
        <f>D32</f>
        <v>374673.62</v>
      </c>
      <c r="G32" s="68">
        <f>E32-D32</f>
        <v>-1948.9000000000233</v>
      </c>
    </row>
    <row r="33" spans="1:7" ht="15">
      <c r="A33" s="9" t="s">
        <v>42</v>
      </c>
      <c r="B33" s="9" t="s">
        <v>170</v>
      </c>
      <c r="C33" s="202"/>
      <c r="D33" s="68">
        <v>416180.12</v>
      </c>
      <c r="E33" s="68">
        <v>397290.22</v>
      </c>
      <c r="F33" s="68">
        <f>D33</f>
        <v>416180.12</v>
      </c>
      <c r="G33" s="68">
        <f>E33-D33</f>
        <v>-18889.900000000023</v>
      </c>
    </row>
    <row r="34" spans="1:7" ht="15">
      <c r="A34" s="9" t="s">
        <v>41</v>
      </c>
      <c r="B34" s="9" t="s">
        <v>43</v>
      </c>
      <c r="C34" s="110"/>
      <c r="D34" s="68">
        <v>766711.71</v>
      </c>
      <c r="E34" s="68">
        <v>693854.77</v>
      </c>
      <c r="F34" s="68">
        <f>D34</f>
        <v>766711.71</v>
      </c>
      <c r="G34" s="68">
        <f>E34-D34</f>
        <v>-72856.93999999994</v>
      </c>
    </row>
    <row r="35" spans="1:10" s="20" customFormat="1" ht="14.25" thickBot="1">
      <c r="A35" s="21"/>
      <c r="B35" s="21"/>
      <c r="C35" s="105"/>
      <c r="D35" s="22"/>
      <c r="E35" s="22"/>
      <c r="F35" s="22"/>
      <c r="G35" s="22"/>
      <c r="H35" s="22"/>
      <c r="I35" s="22"/>
      <c r="J35" s="22"/>
    </row>
    <row r="36" spans="1:9" s="3" customFormat="1" ht="15.75" thickBot="1">
      <c r="A36" s="265" t="s">
        <v>299</v>
      </c>
      <c r="B36" s="324"/>
      <c r="C36" s="324"/>
      <c r="D36" s="79">
        <f>D13+D18+D25+D26+D27+D28+D29+D30+D23-E18-E25-E26-E27-E28-E29-E30-E23</f>
        <v>907950.3796175141</v>
      </c>
      <c r="E36" s="83"/>
      <c r="F36" s="83"/>
      <c r="G36" s="83"/>
      <c r="H36" s="86"/>
      <c r="I36" s="86"/>
    </row>
    <row r="37" spans="1:9" s="3" customFormat="1" ht="10.5" customHeight="1" thickBot="1">
      <c r="A37" s="89"/>
      <c r="B37" s="89"/>
      <c r="C37" s="102"/>
      <c r="D37" s="90"/>
      <c r="E37" s="83"/>
      <c r="F37" s="83"/>
      <c r="G37" s="83"/>
      <c r="H37" s="86"/>
      <c r="I37" s="86"/>
    </row>
    <row r="38" spans="1:9" s="3" customFormat="1" ht="15.75" thickBot="1">
      <c r="A38" s="87" t="s">
        <v>301</v>
      </c>
      <c r="B38" s="88"/>
      <c r="C38" s="103"/>
      <c r="D38" s="91"/>
      <c r="E38" s="84"/>
      <c r="F38" s="84"/>
      <c r="G38" s="93">
        <f>G15+E28-F28</f>
        <v>-46172.89869999999</v>
      </c>
      <c r="H38" s="86"/>
      <c r="I38" s="86"/>
    </row>
    <row r="39" spans="1:9" ht="35.25" customHeight="1">
      <c r="A39" s="316" t="s">
        <v>44</v>
      </c>
      <c r="B39" s="316"/>
      <c r="C39" s="316"/>
      <c r="D39" s="316"/>
      <c r="E39" s="316"/>
      <c r="F39" s="316"/>
      <c r="G39" s="316"/>
      <c r="H39" s="316"/>
      <c r="I39" s="316"/>
    </row>
    <row r="41" spans="1:7" s="7" customFormat="1" ht="28.5" customHeight="1">
      <c r="A41" s="5" t="s">
        <v>11</v>
      </c>
      <c r="B41" s="285" t="s">
        <v>45</v>
      </c>
      <c r="C41" s="286"/>
      <c r="D41" s="5" t="s">
        <v>232</v>
      </c>
      <c r="E41" s="5" t="s">
        <v>231</v>
      </c>
      <c r="F41" s="285" t="s">
        <v>46</v>
      </c>
      <c r="G41" s="286"/>
    </row>
    <row r="42" spans="1:7" s="12" customFormat="1" ht="15">
      <c r="A42" s="11" t="s">
        <v>47</v>
      </c>
      <c r="B42" s="287" t="s">
        <v>126</v>
      </c>
      <c r="C42" s="288"/>
      <c r="D42" s="157"/>
      <c r="E42" s="157"/>
      <c r="F42" s="295">
        <f>SUM(F43:G49)</f>
        <v>193142.03869999998</v>
      </c>
      <c r="G42" s="291"/>
    </row>
    <row r="43" spans="1:7" ht="15" customHeight="1">
      <c r="A43" s="9" t="s">
        <v>16</v>
      </c>
      <c r="B43" s="271" t="s">
        <v>630</v>
      </c>
      <c r="C43" s="273"/>
      <c r="D43" s="158" t="s">
        <v>412</v>
      </c>
      <c r="E43" s="158">
        <v>0.212</v>
      </c>
      <c r="F43" s="308">
        <v>186468</v>
      </c>
      <c r="G43" s="309"/>
    </row>
    <row r="44" spans="1:7" ht="15" customHeight="1">
      <c r="A44" s="9" t="s">
        <v>18</v>
      </c>
      <c r="B44" s="271" t="s">
        <v>635</v>
      </c>
      <c r="C44" s="273"/>
      <c r="D44" s="158" t="s">
        <v>234</v>
      </c>
      <c r="E44" s="158">
        <v>1</v>
      </c>
      <c r="F44" s="308">
        <v>1710.21</v>
      </c>
      <c r="G44" s="309"/>
    </row>
    <row r="45" spans="1:7" ht="15">
      <c r="A45" s="9" t="s">
        <v>20</v>
      </c>
      <c r="B45" s="271" t="s">
        <v>631</v>
      </c>
      <c r="C45" s="273"/>
      <c r="D45" s="158" t="s">
        <v>416</v>
      </c>
      <c r="E45" s="158">
        <v>0.02</v>
      </c>
      <c r="F45" s="308">
        <v>815.12</v>
      </c>
      <c r="G45" s="309"/>
    </row>
    <row r="46" spans="1:7" s="3" customFormat="1" ht="15">
      <c r="A46" s="9" t="s">
        <v>22</v>
      </c>
      <c r="B46" s="271" t="s">
        <v>632</v>
      </c>
      <c r="C46" s="273"/>
      <c r="D46" s="158" t="s">
        <v>410</v>
      </c>
      <c r="E46" s="158">
        <v>0.01</v>
      </c>
      <c r="F46" s="308">
        <v>515.25</v>
      </c>
      <c r="G46" s="309"/>
    </row>
    <row r="47" spans="1:7" s="3" customFormat="1" ht="15">
      <c r="A47" s="242" t="s">
        <v>24</v>
      </c>
      <c r="B47" s="271" t="s">
        <v>633</v>
      </c>
      <c r="C47" s="273"/>
      <c r="D47" s="158" t="s">
        <v>234</v>
      </c>
      <c r="E47" s="158">
        <v>1</v>
      </c>
      <c r="F47" s="308">
        <v>1150</v>
      </c>
      <c r="G47" s="309"/>
    </row>
    <row r="48" spans="1:7" s="3" customFormat="1" ht="15">
      <c r="A48" s="9" t="s">
        <v>116</v>
      </c>
      <c r="B48" s="271" t="s">
        <v>634</v>
      </c>
      <c r="C48" s="273"/>
      <c r="D48" s="158" t="s">
        <v>234</v>
      </c>
      <c r="E48" s="158">
        <v>1</v>
      </c>
      <c r="F48" s="308">
        <v>1500</v>
      </c>
      <c r="G48" s="309"/>
    </row>
    <row r="49" spans="1:7" s="3" customFormat="1" ht="15">
      <c r="A49" s="9" t="s">
        <v>117</v>
      </c>
      <c r="B49" s="306" t="s">
        <v>286</v>
      </c>
      <c r="C49" s="307"/>
      <c r="D49" s="199"/>
      <c r="E49" s="199"/>
      <c r="F49" s="296">
        <f>E28*1%</f>
        <v>983.4587</v>
      </c>
      <c r="G49" s="296"/>
    </row>
    <row r="50" s="3" customFormat="1" ht="15">
      <c r="C50" s="101"/>
    </row>
    <row r="51" s="3" customFormat="1" ht="15">
      <c r="C51" s="101"/>
    </row>
  </sheetData>
  <sheetProtection/>
  <mergeCells count="28">
    <mergeCell ref="B48:C48"/>
    <mergeCell ref="F48:G48"/>
    <mergeCell ref="B49:C49"/>
    <mergeCell ref="F49:G49"/>
    <mergeCell ref="B45:C45"/>
    <mergeCell ref="F45:G45"/>
    <mergeCell ref="B46:C46"/>
    <mergeCell ref="F46:G46"/>
    <mergeCell ref="B47:C47"/>
    <mergeCell ref="F47:G47"/>
    <mergeCell ref="F44:G44"/>
    <mergeCell ref="B41:C41"/>
    <mergeCell ref="B42:C42"/>
    <mergeCell ref="B43:C43"/>
    <mergeCell ref="A39:I39"/>
    <mergeCell ref="F42:G42"/>
    <mergeCell ref="F43:G43"/>
    <mergeCell ref="F41:G41"/>
    <mergeCell ref="B44:C44"/>
    <mergeCell ref="A1:I1"/>
    <mergeCell ref="A2:I2"/>
    <mergeCell ref="A3:K3"/>
    <mergeCell ref="A5:I5"/>
    <mergeCell ref="A36:C36"/>
    <mergeCell ref="A10:I10"/>
    <mergeCell ref="A11:I11"/>
    <mergeCell ref="A12:I12"/>
    <mergeCell ref="A13:C1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G15" sqref="G15"/>
    </sheetView>
  </sheetViews>
  <sheetFormatPr defaultColWidth="9.140625" defaultRowHeight="15" outlineLevelCol="1"/>
  <cols>
    <col min="1" max="1" width="5.7109375" style="23" customWidth="1"/>
    <col min="2" max="2" width="49.8515625" style="23" customWidth="1"/>
    <col min="3" max="3" width="13.281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207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208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58990.14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228</v>
      </c>
      <c r="B14" s="43"/>
      <c r="C14" s="43"/>
      <c r="D14" s="44"/>
      <c r="E14" s="45"/>
      <c r="F14" s="45"/>
      <c r="G14" s="38">
        <v>-20623.85</v>
      </c>
      <c r="H14" s="40"/>
      <c r="I14" s="40"/>
    </row>
    <row r="15" spans="1:9" s="15" customFormat="1" ht="15.75" thickBot="1">
      <c r="A15" s="87" t="s">
        <v>229</v>
      </c>
      <c r="B15" s="43"/>
      <c r="C15" s="43"/>
      <c r="D15" s="44"/>
      <c r="E15" s="45"/>
      <c r="F15" s="45"/>
      <c r="G15" s="73">
        <v>4078.55</v>
      </c>
      <c r="H15" s="40"/>
      <c r="I15" s="40"/>
    </row>
    <row r="16" s="25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103</v>
      </c>
      <c r="D17" s="6" t="s">
        <v>295</v>
      </c>
      <c r="E17" s="6" t="s">
        <v>296</v>
      </c>
      <c r="F17" s="17" t="s">
        <v>297</v>
      </c>
      <c r="G17" s="6" t="s">
        <v>298</v>
      </c>
    </row>
    <row r="18" spans="1:16" s="149" customFormat="1" ht="14.25">
      <c r="A18" s="144" t="s">
        <v>14</v>
      </c>
      <c r="B18" s="129" t="s">
        <v>15</v>
      </c>
      <c r="C18" s="145">
        <f>C19+C20+C21+C22</f>
        <v>8.93</v>
      </c>
      <c r="D18" s="146">
        <v>231798.12</v>
      </c>
      <c r="E18" s="146">
        <v>215869.71</v>
      </c>
      <c r="F18" s="146">
        <f>D18</f>
        <v>231798.12</v>
      </c>
      <c r="G18" s="147">
        <f>E18-D18</f>
        <v>-15928.410000000003</v>
      </c>
      <c r="H18" s="70">
        <f>C18</f>
        <v>8.93</v>
      </c>
      <c r="O18" s="148"/>
      <c r="P18" s="150"/>
    </row>
    <row r="19" spans="1:9" s="25" customFormat="1" ht="15">
      <c r="A19" s="27" t="s">
        <v>16</v>
      </c>
      <c r="B19" s="9" t="s">
        <v>17</v>
      </c>
      <c r="C19" s="139">
        <v>3.22</v>
      </c>
      <c r="D19" s="67">
        <f>D18*I19</f>
        <v>83582.30082866742</v>
      </c>
      <c r="E19" s="67">
        <f>E18*I19</f>
        <v>77838.79800671893</v>
      </c>
      <c r="F19" s="67">
        <f>D19</f>
        <v>83582.30082866742</v>
      </c>
      <c r="G19" s="68">
        <f aca="true" t="shared" si="0" ref="G19:G27">E19-D19</f>
        <v>-5743.502821948481</v>
      </c>
      <c r="H19" s="70">
        <f>C19</f>
        <v>3.22</v>
      </c>
      <c r="I19" s="32">
        <f>H19/H18</f>
        <v>0.3605823068309071</v>
      </c>
    </row>
    <row r="20" spans="1:9" s="25" customFormat="1" ht="15">
      <c r="A20" s="27" t="s">
        <v>18</v>
      </c>
      <c r="B20" s="9" t="s">
        <v>19</v>
      </c>
      <c r="C20" s="139">
        <f>1.43+0.15</f>
        <v>1.5799999999999998</v>
      </c>
      <c r="D20" s="67">
        <f>D18*I20</f>
        <v>41012.43332586785</v>
      </c>
      <c r="E20" s="67">
        <f>E18*I20</f>
        <v>38194.192810750275</v>
      </c>
      <c r="F20" s="67">
        <f>D20</f>
        <v>41012.43332586785</v>
      </c>
      <c r="G20" s="68">
        <f t="shared" si="0"/>
        <v>-2818.240515117577</v>
      </c>
      <c r="H20" s="70">
        <f>C20</f>
        <v>1.5799999999999998</v>
      </c>
      <c r="I20" s="32">
        <f>H20/H18</f>
        <v>0.17693169092945127</v>
      </c>
    </row>
    <row r="21" spans="1:9" s="25" customFormat="1" ht="15">
      <c r="A21" s="27" t="s">
        <v>20</v>
      </c>
      <c r="B21" s="9" t="s">
        <v>21</v>
      </c>
      <c r="C21" s="139">
        <f>1.89-0.47</f>
        <v>1.42</v>
      </c>
      <c r="D21" s="67">
        <f>D18*I21</f>
        <v>36859.27552071668</v>
      </c>
      <c r="E21" s="67">
        <f>E18*I21</f>
        <v>34326.42645016797</v>
      </c>
      <c r="F21" s="67">
        <f>D21</f>
        <v>36859.27552071668</v>
      </c>
      <c r="G21" s="68">
        <f t="shared" si="0"/>
        <v>-2532.8490705487056</v>
      </c>
      <c r="H21" s="70">
        <f>C21</f>
        <v>1.42</v>
      </c>
      <c r="I21" s="32">
        <f>H21/H18</f>
        <v>0.15901455767077266</v>
      </c>
    </row>
    <row r="22" spans="1:9" s="25" customFormat="1" ht="15">
      <c r="A22" s="27" t="s">
        <v>22</v>
      </c>
      <c r="B22" s="9" t="s">
        <v>23</v>
      </c>
      <c r="C22" s="139">
        <v>2.71</v>
      </c>
      <c r="D22" s="67">
        <f>D18*I22</f>
        <v>70344.11032474804</v>
      </c>
      <c r="E22" s="67">
        <f>E18*I22</f>
        <v>65510.29273236282</v>
      </c>
      <c r="F22" s="67">
        <f>D22</f>
        <v>70344.11032474804</v>
      </c>
      <c r="G22" s="68">
        <f t="shared" si="0"/>
        <v>-4833.817592385218</v>
      </c>
      <c r="H22" s="70">
        <f>C22</f>
        <v>2.71</v>
      </c>
      <c r="I22" s="32">
        <f>H22/H18</f>
        <v>0.303471444568869</v>
      </c>
    </row>
    <row r="23" spans="1:7" s="154" customFormat="1" ht="14.25">
      <c r="A23" s="151" t="s">
        <v>25</v>
      </c>
      <c r="B23" s="191" t="s">
        <v>26</v>
      </c>
      <c r="C23" s="175">
        <v>0</v>
      </c>
      <c r="D23" s="153">
        <v>0</v>
      </c>
      <c r="E23" s="153">
        <v>0</v>
      </c>
      <c r="F23" s="153">
        <v>0</v>
      </c>
      <c r="G23" s="153">
        <f t="shared" si="0"/>
        <v>0</v>
      </c>
    </row>
    <row r="24" spans="1:7" s="154" customFormat="1" ht="14.25">
      <c r="A24" s="151" t="s">
        <v>27</v>
      </c>
      <c r="B24" s="191" t="s">
        <v>28</v>
      </c>
      <c r="C24" s="175">
        <v>0</v>
      </c>
      <c r="D24" s="153">
        <v>0</v>
      </c>
      <c r="E24" s="153">
        <v>1156.2</v>
      </c>
      <c r="F24" s="153">
        <f>D24</f>
        <v>0</v>
      </c>
      <c r="G24" s="153">
        <f t="shared" si="0"/>
        <v>1156.2</v>
      </c>
    </row>
    <row r="25" spans="1:7" s="154" customFormat="1" ht="14.25">
      <c r="A25" s="151" t="s">
        <v>29</v>
      </c>
      <c r="B25" s="191" t="s">
        <v>230</v>
      </c>
      <c r="C25" s="152">
        <v>1832.48</v>
      </c>
      <c r="D25" s="153">
        <v>11175.27</v>
      </c>
      <c r="E25" s="153">
        <v>10516.83</v>
      </c>
      <c r="F25" s="153">
        <f>D25</f>
        <v>11175.27</v>
      </c>
      <c r="G25" s="153">
        <f t="shared" si="0"/>
        <v>-658.4400000000005</v>
      </c>
    </row>
    <row r="26" spans="1:7" s="154" customFormat="1" ht="14.25">
      <c r="A26" s="151" t="s">
        <v>31</v>
      </c>
      <c r="B26" s="191" t="s">
        <v>131</v>
      </c>
      <c r="C26" s="175">
        <v>4.5</v>
      </c>
      <c r="D26" s="153">
        <v>116807.46</v>
      </c>
      <c r="E26" s="153">
        <v>110052.5</v>
      </c>
      <c r="F26" s="153">
        <f>F43</f>
        <v>64061.005000000005</v>
      </c>
      <c r="G26" s="153">
        <f>E26-D26</f>
        <v>-6754.960000000006</v>
      </c>
    </row>
    <row r="27" spans="1:7" s="37" customFormat="1" ht="14.25">
      <c r="A27" s="36" t="s">
        <v>33</v>
      </c>
      <c r="B27" s="129" t="s">
        <v>34</v>
      </c>
      <c r="C27" s="176">
        <v>0</v>
      </c>
      <c r="D27" s="147">
        <v>0</v>
      </c>
      <c r="E27" s="147">
        <v>125.84</v>
      </c>
      <c r="F27" s="153">
        <v>0</v>
      </c>
      <c r="G27" s="147">
        <f t="shared" si="0"/>
        <v>125.84</v>
      </c>
    </row>
    <row r="28" spans="1:7" s="37" customFormat="1" ht="14.25">
      <c r="A28" s="36" t="s">
        <v>35</v>
      </c>
      <c r="B28" s="129" t="s">
        <v>36</v>
      </c>
      <c r="C28" s="175"/>
      <c r="D28" s="147">
        <f>SUM(D29:D32)</f>
        <v>966583.23</v>
      </c>
      <c r="E28" s="147">
        <f>SUM(E29:E32)</f>
        <v>923621</v>
      </c>
      <c r="F28" s="147">
        <f>SUM(F29:F32)</f>
        <v>966583.23</v>
      </c>
      <c r="G28" s="147">
        <f>SUM(G29:G32)</f>
        <v>-42962.230000000025</v>
      </c>
    </row>
    <row r="29" spans="1:7" ht="15">
      <c r="A29" s="28" t="s">
        <v>37</v>
      </c>
      <c r="B29" s="9" t="s">
        <v>251</v>
      </c>
      <c r="C29" s="134" t="s">
        <v>315</v>
      </c>
      <c r="D29" s="68">
        <v>8803.74</v>
      </c>
      <c r="E29" s="68">
        <v>8308.6</v>
      </c>
      <c r="F29" s="68">
        <f>D29</f>
        <v>8803.74</v>
      </c>
      <c r="G29" s="68">
        <f>E29-D29</f>
        <v>-495.1399999999994</v>
      </c>
    </row>
    <row r="30" spans="1:7" ht="15">
      <c r="A30" s="28" t="s">
        <v>39</v>
      </c>
      <c r="B30" s="9" t="s">
        <v>168</v>
      </c>
      <c r="C30" s="134" t="s">
        <v>314</v>
      </c>
      <c r="D30" s="68">
        <v>358490.18</v>
      </c>
      <c r="E30" s="68">
        <v>341679.63</v>
      </c>
      <c r="F30" s="68">
        <f>D30</f>
        <v>358490.18</v>
      </c>
      <c r="G30" s="68">
        <f>E30-D30</f>
        <v>-16810.54999999999</v>
      </c>
    </row>
    <row r="31" spans="1:7" ht="15">
      <c r="A31" s="28" t="s">
        <v>42</v>
      </c>
      <c r="B31" s="9" t="s">
        <v>170</v>
      </c>
      <c r="C31" s="182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7" ht="15">
      <c r="A32" s="28" t="s">
        <v>41</v>
      </c>
      <c r="B32" s="9" t="s">
        <v>43</v>
      </c>
      <c r="C32" s="134" t="s">
        <v>316</v>
      </c>
      <c r="D32" s="68">
        <v>599289.31</v>
      </c>
      <c r="E32" s="68">
        <v>573632.77</v>
      </c>
      <c r="F32" s="68">
        <f>D32</f>
        <v>599289.31</v>
      </c>
      <c r="G32" s="68">
        <f>E32-D32</f>
        <v>-25656.540000000037</v>
      </c>
    </row>
    <row r="33" spans="1:9" s="20" customFormat="1" ht="7.5" customHeight="1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D12+D18+D23+D24+D25+D26+D27+D28-E18-E23-E24-E25-E26-E27-E28</f>
        <v>124012.14000000001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300</v>
      </c>
      <c r="B36" s="43"/>
      <c r="C36" s="43"/>
      <c r="D36" s="44"/>
      <c r="E36" s="45"/>
      <c r="F36" s="45"/>
      <c r="G36" s="38">
        <f>G14+E27-F27</f>
        <v>-20498.01</v>
      </c>
      <c r="H36" s="40"/>
      <c r="I36" s="40"/>
    </row>
    <row r="37" spans="1:13" s="20" customFormat="1" ht="14.25" thickBot="1">
      <c r="A37" s="87" t="s">
        <v>301</v>
      </c>
      <c r="B37" s="43"/>
      <c r="C37" s="43"/>
      <c r="D37" s="44"/>
      <c r="E37" s="45"/>
      <c r="F37" s="45"/>
      <c r="G37" s="38">
        <f>G15+E26-F26</f>
        <v>50070.045</v>
      </c>
      <c r="H37" s="22"/>
      <c r="I37" s="22"/>
      <c r="J37" s="22"/>
      <c r="K37" s="22"/>
      <c r="L37" s="22"/>
      <c r="M37" s="22"/>
    </row>
    <row r="38" spans="1:13" s="20" customFormat="1" ht="9.75" customHeight="1">
      <c r="A38" s="21"/>
      <c r="B38" s="2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</row>
    <row r="39" spans="1:13" s="20" customFormat="1" ht="9.75" customHeight="1">
      <c r="A39" s="21"/>
      <c r="B39" s="21"/>
      <c r="C39" s="21"/>
      <c r="D39" s="21"/>
      <c r="E39" s="22"/>
      <c r="F39" s="22"/>
      <c r="G39" s="22"/>
      <c r="H39" s="22"/>
      <c r="I39" s="22"/>
      <c r="J39" s="22"/>
      <c r="K39" s="22"/>
      <c r="L39" s="22"/>
      <c r="M39" s="22"/>
    </row>
    <row r="40" spans="1:11" ht="23.2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</row>
    <row r="42" spans="1:14" s="18" customFormat="1" ht="28.5">
      <c r="A42" s="5" t="s">
        <v>11</v>
      </c>
      <c r="B42" s="285" t="s">
        <v>45</v>
      </c>
      <c r="C42" s="286"/>
      <c r="D42" s="5" t="s">
        <v>232</v>
      </c>
      <c r="E42" s="5" t="s">
        <v>231</v>
      </c>
      <c r="F42" s="285" t="s">
        <v>46</v>
      </c>
      <c r="G42" s="286"/>
      <c r="H42" s="57"/>
      <c r="I42" s="58"/>
      <c r="N42" s="54"/>
    </row>
    <row r="43" spans="1:14" s="12" customFormat="1" ht="15">
      <c r="A43" s="11" t="s">
        <v>47</v>
      </c>
      <c r="B43" s="287" t="s">
        <v>126</v>
      </c>
      <c r="C43" s="288"/>
      <c r="D43" s="157"/>
      <c r="E43" s="157"/>
      <c r="F43" s="295">
        <f>SUM(F44:G49)</f>
        <v>64061.005000000005</v>
      </c>
      <c r="G43" s="291"/>
      <c r="H43" s="59"/>
      <c r="I43" s="60"/>
      <c r="N43" s="55"/>
    </row>
    <row r="44" spans="1:14" ht="15">
      <c r="A44" s="9" t="s">
        <v>16</v>
      </c>
      <c r="B44" s="271" t="s">
        <v>430</v>
      </c>
      <c r="C44" s="273"/>
      <c r="D44" s="158" t="s">
        <v>234</v>
      </c>
      <c r="E44" s="158"/>
      <c r="F44" s="308">
        <v>2118.16</v>
      </c>
      <c r="G44" s="309"/>
      <c r="H44" s="61"/>
      <c r="I44" s="62"/>
      <c r="N44" s="56"/>
    </row>
    <row r="45" spans="1:14" ht="15">
      <c r="A45" s="9" t="s">
        <v>18</v>
      </c>
      <c r="B45" s="271" t="s">
        <v>240</v>
      </c>
      <c r="C45" s="273"/>
      <c r="D45" s="158" t="s">
        <v>412</v>
      </c>
      <c r="E45" s="158">
        <v>0.05</v>
      </c>
      <c r="F45" s="294">
        <v>15698.19</v>
      </c>
      <c r="G45" s="294"/>
      <c r="H45" s="61"/>
      <c r="I45" s="62"/>
      <c r="N45" s="56"/>
    </row>
    <row r="46" spans="1:14" ht="15">
      <c r="A46" s="9" t="s">
        <v>20</v>
      </c>
      <c r="B46" s="271" t="s">
        <v>431</v>
      </c>
      <c r="C46" s="273"/>
      <c r="D46" s="158" t="s">
        <v>412</v>
      </c>
      <c r="E46" s="158">
        <v>0.06</v>
      </c>
      <c r="F46" s="294">
        <v>22900.5</v>
      </c>
      <c r="G46" s="294"/>
      <c r="H46" s="90"/>
      <c r="I46" s="90"/>
      <c r="N46" s="56"/>
    </row>
    <row r="47" spans="1:14" ht="15">
      <c r="A47" s="9" t="s">
        <v>22</v>
      </c>
      <c r="B47" s="213" t="s">
        <v>432</v>
      </c>
      <c r="C47" s="214"/>
      <c r="D47" s="158" t="s">
        <v>234</v>
      </c>
      <c r="E47" s="158">
        <v>4</v>
      </c>
      <c r="F47" s="294">
        <v>9747.34</v>
      </c>
      <c r="G47" s="294"/>
      <c r="H47" s="90"/>
      <c r="I47" s="90"/>
      <c r="N47" s="56"/>
    </row>
    <row r="48" spans="1:14" ht="15">
      <c r="A48" s="9" t="s">
        <v>24</v>
      </c>
      <c r="B48" s="213" t="s">
        <v>292</v>
      </c>
      <c r="C48" s="214"/>
      <c r="D48" s="158" t="s">
        <v>412</v>
      </c>
      <c r="E48" s="158">
        <v>0.2</v>
      </c>
      <c r="F48" s="294">
        <v>12496.29</v>
      </c>
      <c r="G48" s="294"/>
      <c r="H48" s="90"/>
      <c r="I48" s="90"/>
      <c r="N48" s="56"/>
    </row>
    <row r="49" spans="1:7" s="3" customFormat="1" ht="15">
      <c r="A49" s="9" t="s">
        <v>116</v>
      </c>
      <c r="B49" s="171" t="s">
        <v>286</v>
      </c>
      <c r="C49" s="172"/>
      <c r="D49" s="199"/>
      <c r="E49" s="199"/>
      <c r="F49" s="296">
        <f>E26*1%</f>
        <v>1100.525</v>
      </c>
      <c r="G49" s="296"/>
    </row>
    <row r="50" s="25" customFormat="1" ht="12.75"/>
    <row r="51" spans="1:7" s="25" customFormat="1" ht="15">
      <c r="A51" s="3" t="s">
        <v>55</v>
      </c>
      <c r="B51" s="3"/>
      <c r="C51" s="101" t="s">
        <v>49</v>
      </c>
      <c r="D51" s="3"/>
      <c r="E51" s="3"/>
      <c r="F51" s="3" t="s">
        <v>102</v>
      </c>
      <c r="G51" s="3"/>
    </row>
    <row r="52" spans="1:7" ht="15">
      <c r="A52" s="3"/>
      <c r="B52" s="3"/>
      <c r="C52" s="101"/>
      <c r="D52" s="3"/>
      <c r="E52" s="3"/>
      <c r="F52" s="4" t="s">
        <v>303</v>
      </c>
      <c r="G52" s="3"/>
    </row>
    <row r="53" spans="1:7" ht="15">
      <c r="A53" s="3" t="s">
        <v>50</v>
      </c>
      <c r="B53" s="3"/>
      <c r="C53" s="101"/>
      <c r="D53" s="3"/>
      <c r="E53" s="3"/>
      <c r="F53" s="3"/>
      <c r="G53" s="3"/>
    </row>
    <row r="54" spans="1:7" ht="15">
      <c r="A54" s="3"/>
      <c r="B54" s="3"/>
      <c r="C54" s="106" t="s">
        <v>51</v>
      </c>
      <c r="D54" s="3"/>
      <c r="E54" s="14"/>
      <c r="F54" s="14"/>
      <c r="G54" s="14"/>
    </row>
  </sheetData>
  <sheetProtection/>
  <mergeCells count="23">
    <mergeCell ref="F49:G49"/>
    <mergeCell ref="F47:G47"/>
    <mergeCell ref="A34:C34"/>
    <mergeCell ref="A40:K40"/>
    <mergeCell ref="B42:C42"/>
    <mergeCell ref="F42:G42"/>
    <mergeCell ref="F48:G48"/>
    <mergeCell ref="B46:C46"/>
    <mergeCell ref="F46:G46"/>
    <mergeCell ref="B43:C43"/>
    <mergeCell ref="F43:G43"/>
    <mergeCell ref="B44:C44"/>
    <mergeCell ref="A11:K11"/>
    <mergeCell ref="A12:C12"/>
    <mergeCell ref="F44:G44"/>
    <mergeCell ref="B45:C45"/>
    <mergeCell ref="F45:G45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4.8515625" style="23" customWidth="1"/>
    <col min="2" max="2" width="50.28125" style="23" customWidth="1"/>
    <col min="3" max="3" width="15.85156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253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254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-0.53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12031.08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149" customFormat="1" ht="14.25">
      <c r="A17" s="163" t="s">
        <v>14</v>
      </c>
      <c r="B17" s="129" t="s">
        <v>15</v>
      </c>
      <c r="C17" s="145">
        <f>C18+C19+C20+C21</f>
        <v>8.93</v>
      </c>
      <c r="D17" s="146">
        <v>78923.4</v>
      </c>
      <c r="E17" s="146">
        <v>76339.51</v>
      </c>
      <c r="F17" s="146">
        <f>D17</f>
        <v>78923.4</v>
      </c>
      <c r="G17" s="147">
        <f>E17-D17</f>
        <v>-2583.8899999999994</v>
      </c>
      <c r="H17" s="70">
        <f>C17</f>
        <v>8.93</v>
      </c>
      <c r="O17" s="148"/>
      <c r="P17" s="150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28458.38163493841</v>
      </c>
      <c r="E18" s="67">
        <f>E17*I18</f>
        <v>27526.676618141097</v>
      </c>
      <c r="F18" s="67">
        <f>D18</f>
        <v>28458.38163493841</v>
      </c>
      <c r="G18" s="68">
        <f aca="true" t="shared" si="0" ref="G18:G26">E18-D18</f>
        <v>-931.7050167973139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13964.050615901453</v>
      </c>
      <c r="E19" s="67">
        <f>E17*I19</f>
        <v>13506.878589025753</v>
      </c>
      <c r="F19" s="67">
        <f>D19</f>
        <v>13964.050615901453</v>
      </c>
      <c r="G19" s="68">
        <f t="shared" si="0"/>
        <v>-457.1720268756999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12549.969540873459</v>
      </c>
      <c r="E20" s="67">
        <f>E17*I20</f>
        <v>12139.093415453526</v>
      </c>
      <c r="F20" s="67">
        <f>D20</f>
        <v>12549.969540873459</v>
      </c>
      <c r="G20" s="68">
        <f t="shared" si="0"/>
        <v>-410.8761254199326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23950.998208286674</v>
      </c>
      <c r="E21" s="67">
        <f>E17*I21</f>
        <v>23166.861377379617</v>
      </c>
      <c r="F21" s="67">
        <f>D21</f>
        <v>23950.998208286674</v>
      </c>
      <c r="G21" s="68">
        <f t="shared" si="0"/>
        <v>-784.1368309070567</v>
      </c>
      <c r="H21" s="70">
        <f>C21</f>
        <v>2.71</v>
      </c>
      <c r="I21" s="32">
        <f>H21/H17</f>
        <v>0.303471444568869</v>
      </c>
    </row>
    <row r="22" spans="1:7" s="154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</row>
    <row r="23" spans="1:7" s="154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0</v>
      </c>
      <c r="F23" s="153">
        <f>D23</f>
        <v>0</v>
      </c>
      <c r="G23" s="153">
        <f t="shared" si="0"/>
        <v>0</v>
      </c>
    </row>
    <row r="24" spans="1:7" s="154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</row>
    <row r="25" spans="1:7" s="154" customFormat="1" ht="14.25">
      <c r="A25" s="191" t="s">
        <v>31</v>
      </c>
      <c r="B25" s="191" t="s">
        <v>131</v>
      </c>
      <c r="C25" s="153">
        <v>1.74</v>
      </c>
      <c r="D25" s="153">
        <v>15378</v>
      </c>
      <c r="E25" s="153">
        <v>14874.54</v>
      </c>
      <c r="F25" s="153">
        <f>F40</f>
        <v>444.2654</v>
      </c>
      <c r="G25" s="153">
        <f>E25-D25</f>
        <v>-503.4599999999991</v>
      </c>
    </row>
    <row r="26" spans="1:7" s="37" customFormat="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</row>
    <row r="27" spans="1:7" s="37" customFormat="1" ht="14.25">
      <c r="A27" s="129" t="s">
        <v>35</v>
      </c>
      <c r="B27" s="129" t="s">
        <v>36</v>
      </c>
      <c r="C27" s="147"/>
      <c r="D27" s="147">
        <f>SUM(D28:D31)</f>
        <v>487688.68</v>
      </c>
      <c r="E27" s="147">
        <f>SUM(E28:E31)</f>
        <v>463338.36</v>
      </c>
      <c r="F27" s="147">
        <f>SUM(F28:F31)</f>
        <v>487688.68</v>
      </c>
      <c r="G27" s="147">
        <f>SUM(G28:G31)</f>
        <v>-24350.31999999998</v>
      </c>
    </row>
    <row r="28" spans="1:7" ht="15">
      <c r="A28" s="9" t="s">
        <v>37</v>
      </c>
      <c r="B28" s="9" t="s">
        <v>235</v>
      </c>
      <c r="C28" s="134" t="s">
        <v>315</v>
      </c>
      <c r="D28" s="68">
        <v>2368.2</v>
      </c>
      <c r="E28" s="68">
        <v>2289.61</v>
      </c>
      <c r="F28" s="68">
        <f>D28</f>
        <v>2368.2</v>
      </c>
      <c r="G28" s="68">
        <f>E28-D28</f>
        <v>-78.58999999999969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102698.25</v>
      </c>
      <c r="E29" s="68">
        <v>99968.69</v>
      </c>
      <c r="F29" s="68">
        <f>D29</f>
        <v>102698.25</v>
      </c>
      <c r="G29" s="68">
        <f>E29-D29</f>
        <v>-2729.5599999999977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382622.23</v>
      </c>
      <c r="E31" s="68">
        <v>361080.06</v>
      </c>
      <c r="F31" s="68">
        <f>D31</f>
        <v>382622.23</v>
      </c>
      <c r="G31" s="68">
        <f>E31-D31</f>
        <v>-21542.169999999984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D12+D17+D23+D25+D26+D27-E17-E23-E25-E26-E27</f>
        <v>27437.140000000072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26461.354600000002</v>
      </c>
      <c r="H35" s="40"/>
      <c r="I35" s="40"/>
    </row>
    <row r="36" spans="1:13" s="20" customFormat="1" ht="9.75" customHeigh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1" ht="23.2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4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N39" s="54"/>
    </row>
    <row r="40" spans="1:14" s="12" customFormat="1" ht="15">
      <c r="A40" s="11" t="s">
        <v>47</v>
      </c>
      <c r="B40" s="287" t="s">
        <v>126</v>
      </c>
      <c r="C40" s="288"/>
      <c r="D40" s="157"/>
      <c r="E40" s="157"/>
      <c r="F40" s="295">
        <f>F41+F42</f>
        <v>444.2654</v>
      </c>
      <c r="G40" s="291"/>
      <c r="H40" s="59"/>
      <c r="I40" s="60"/>
      <c r="N40" s="55"/>
    </row>
    <row r="41" spans="1:7" s="25" customFormat="1" ht="15">
      <c r="A41" s="9" t="s">
        <v>16</v>
      </c>
      <c r="B41" s="306" t="s">
        <v>286</v>
      </c>
      <c r="C41" s="307"/>
      <c r="D41" s="181"/>
      <c r="E41" s="181"/>
      <c r="F41" s="356">
        <f>E25*1%</f>
        <v>148.74540000000002</v>
      </c>
      <c r="G41" s="356"/>
    </row>
    <row r="42" spans="1:7" s="25" customFormat="1" ht="15">
      <c r="A42" s="9" t="s">
        <v>18</v>
      </c>
      <c r="B42" s="306" t="s">
        <v>678</v>
      </c>
      <c r="C42" s="307"/>
      <c r="D42" s="183" t="s">
        <v>234</v>
      </c>
      <c r="E42" s="181">
        <v>0.01</v>
      </c>
      <c r="F42" s="356">
        <v>295.52</v>
      </c>
      <c r="G42" s="356"/>
    </row>
    <row r="43" s="25" customFormat="1" ht="12.75"/>
    <row r="44" spans="1:6" s="3" customFormat="1" ht="15">
      <c r="A44" s="3" t="s">
        <v>55</v>
      </c>
      <c r="C44" s="101" t="s">
        <v>49</v>
      </c>
      <c r="F44" s="3" t="s">
        <v>102</v>
      </c>
    </row>
    <row r="45" spans="1:7" s="25" customFormat="1" ht="15">
      <c r="A45" s="3"/>
      <c r="B45" s="3"/>
      <c r="C45" s="101"/>
      <c r="D45" s="3"/>
      <c r="E45" s="3"/>
      <c r="F45" s="4" t="s">
        <v>303</v>
      </c>
      <c r="G45" s="3"/>
    </row>
    <row r="46" spans="1:10" s="25" customFormat="1" ht="1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7" s="25" customFormat="1" ht="15">
      <c r="A47" s="3"/>
      <c r="B47" s="3"/>
      <c r="C47" s="106" t="s">
        <v>51</v>
      </c>
      <c r="D47" s="3"/>
      <c r="E47" s="14"/>
      <c r="F47" s="14"/>
      <c r="G47" s="14"/>
    </row>
    <row r="48" s="25" customFormat="1" ht="12.75"/>
  </sheetData>
  <sheetProtection/>
  <mergeCells count="18">
    <mergeCell ref="B42:C42"/>
    <mergeCell ref="F42:G42"/>
    <mergeCell ref="F41:G41"/>
    <mergeCell ref="B41:C41"/>
    <mergeCell ref="B39:C39"/>
    <mergeCell ref="F39:G39"/>
    <mergeCell ref="B40:C40"/>
    <mergeCell ref="F40:G40"/>
    <mergeCell ref="A11:K11"/>
    <mergeCell ref="A12:C12"/>
    <mergeCell ref="A33:C33"/>
    <mergeCell ref="A37:K37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27" sqref="C27"/>
    </sheetView>
  </sheetViews>
  <sheetFormatPr defaultColWidth="9.140625" defaultRowHeight="15" outlineLevelCol="1"/>
  <cols>
    <col min="1" max="1" width="4.8515625" style="23" customWidth="1"/>
    <col min="2" max="2" width="47.7109375" style="23" customWidth="1"/>
    <col min="3" max="3" width="15.85156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257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258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896.6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149" customFormat="1" ht="28.5">
      <c r="A17" s="163" t="s">
        <v>14</v>
      </c>
      <c r="B17" s="129" t="s">
        <v>15</v>
      </c>
      <c r="C17" s="145">
        <f>C18+C19+C20+C21</f>
        <v>8.93</v>
      </c>
      <c r="D17" s="146">
        <v>8401.2</v>
      </c>
      <c r="E17" s="146">
        <v>8401.2</v>
      </c>
      <c r="F17" s="146">
        <f>D17</f>
        <v>8401.2</v>
      </c>
      <c r="G17" s="147">
        <f>E17-D17</f>
        <v>0</v>
      </c>
      <c r="H17" s="70">
        <f>C17</f>
        <v>8.93</v>
      </c>
      <c r="O17" s="148"/>
      <c r="P17" s="150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3029.324076147817</v>
      </c>
      <c r="E18" s="67">
        <f>E17*I18</f>
        <v>3029.324076147817</v>
      </c>
      <c r="F18" s="67">
        <f>D18</f>
        <v>3029.324076147817</v>
      </c>
      <c r="G18" s="68">
        <f aca="true" t="shared" si="0" ref="G18:G26">E18-D18</f>
        <v>0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1486.4385218365062</v>
      </c>
      <c r="E19" s="67">
        <f>E17*I19</f>
        <v>1486.4385218365062</v>
      </c>
      <c r="F19" s="67">
        <f>D19</f>
        <v>1486.4385218365062</v>
      </c>
      <c r="G19" s="68">
        <f t="shared" si="0"/>
        <v>0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1335.9131019036954</v>
      </c>
      <c r="E20" s="67">
        <f>E17*I20</f>
        <v>1335.9131019036954</v>
      </c>
      <c r="F20" s="67">
        <f>D20</f>
        <v>1335.9131019036954</v>
      </c>
      <c r="G20" s="68">
        <f t="shared" si="0"/>
        <v>0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2549.5243001119825</v>
      </c>
      <c r="E21" s="67">
        <f>E17*I21</f>
        <v>2549.5243001119825</v>
      </c>
      <c r="F21" s="67">
        <f>D21</f>
        <v>2549.5243001119825</v>
      </c>
      <c r="G21" s="68">
        <f t="shared" si="0"/>
        <v>0</v>
      </c>
      <c r="H21" s="70">
        <f>C21</f>
        <v>2.71</v>
      </c>
      <c r="I21" s="32">
        <f>H21/H17</f>
        <v>0.303471444568869</v>
      </c>
    </row>
    <row r="22" spans="1:7" s="154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</row>
    <row r="23" spans="1:7" s="154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0</v>
      </c>
      <c r="F23" s="153">
        <f>D23</f>
        <v>0</v>
      </c>
      <c r="G23" s="153">
        <f t="shared" si="0"/>
        <v>0</v>
      </c>
    </row>
    <row r="24" spans="1:7" s="154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</row>
    <row r="25" spans="1:7" s="154" customFormat="1" ht="14.25">
      <c r="A25" s="191" t="s">
        <v>31</v>
      </c>
      <c r="B25" s="191" t="s">
        <v>131</v>
      </c>
      <c r="C25" s="153">
        <v>1.74</v>
      </c>
      <c r="D25" s="153">
        <v>1636.8</v>
      </c>
      <c r="E25" s="153">
        <v>1636.8</v>
      </c>
      <c r="F25" s="153">
        <f>F40</f>
        <v>16.368</v>
      </c>
      <c r="G25" s="153">
        <f>E25-D25</f>
        <v>0</v>
      </c>
    </row>
    <row r="26" spans="1:7" s="37" customFormat="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</row>
    <row r="27" spans="1:7" s="37" customFormat="1" ht="14.25">
      <c r="A27" s="129" t="s">
        <v>35</v>
      </c>
      <c r="B27" s="129" t="s">
        <v>36</v>
      </c>
      <c r="C27" s="147"/>
      <c r="D27" s="147">
        <f>SUM(D28:D31)</f>
        <v>32422.75</v>
      </c>
      <c r="E27" s="147">
        <f>SUM(E28:E31)</f>
        <v>32422.75</v>
      </c>
      <c r="F27" s="147">
        <f>SUM(F28:F31)</f>
        <v>32422.75</v>
      </c>
      <c r="G27" s="147">
        <f>SUM(G28:G31)</f>
        <v>0</v>
      </c>
    </row>
    <row r="28" spans="1:7" ht="15">
      <c r="A28" s="9" t="s">
        <v>37</v>
      </c>
      <c r="B28" s="9" t="s">
        <v>235</v>
      </c>
      <c r="C28" s="134" t="s">
        <v>315</v>
      </c>
      <c r="D28" s="68">
        <v>0</v>
      </c>
      <c r="E28" s="68">
        <v>0</v>
      </c>
      <c r="F28" s="68">
        <f>D28</f>
        <v>0</v>
      </c>
      <c r="G28" s="68">
        <f>E28-D28</f>
        <v>0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11330.16</v>
      </c>
      <c r="E29" s="68">
        <v>11330.16</v>
      </c>
      <c r="F29" s="68">
        <f>D29</f>
        <v>11330.16</v>
      </c>
      <c r="G29" s="68">
        <f>E29-D29</f>
        <v>0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21092.59</v>
      </c>
      <c r="E31" s="68">
        <v>21092.59</v>
      </c>
      <c r="F31" s="68">
        <f>D31</f>
        <v>21092.59</v>
      </c>
      <c r="G31" s="68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D12+D17+D23+D25+D26+D27-E17-E23-E25-E26-E27</f>
        <v>0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2517.032</v>
      </c>
      <c r="H35" s="40"/>
      <c r="I35" s="40"/>
    </row>
    <row r="36" spans="1:13" s="20" customFormat="1" ht="9.75" customHeigh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1" ht="23.2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4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N39" s="54"/>
    </row>
    <row r="40" spans="1:14" s="12" customFormat="1" ht="15">
      <c r="A40" s="11" t="s">
        <v>47</v>
      </c>
      <c r="B40" s="287" t="s">
        <v>126</v>
      </c>
      <c r="C40" s="288"/>
      <c r="D40" s="157"/>
      <c r="E40" s="157"/>
      <c r="F40" s="295">
        <f>SUM(F41:G41)</f>
        <v>16.368</v>
      </c>
      <c r="G40" s="291"/>
      <c r="H40" s="59"/>
      <c r="I40" s="60"/>
      <c r="N40" s="55"/>
    </row>
    <row r="41" spans="1:7" s="25" customFormat="1" ht="15">
      <c r="A41" s="9" t="s">
        <v>16</v>
      </c>
      <c r="B41" s="306" t="s">
        <v>286</v>
      </c>
      <c r="C41" s="307"/>
      <c r="D41" s="199"/>
      <c r="E41" s="199"/>
      <c r="F41" s="296">
        <f>E25*1%</f>
        <v>16.368</v>
      </c>
      <c r="G41" s="296"/>
    </row>
    <row r="42" s="25" customFormat="1" ht="12.75"/>
    <row r="43" spans="1:6" s="3" customFormat="1" ht="15">
      <c r="A43" s="3" t="s">
        <v>55</v>
      </c>
      <c r="C43" s="101" t="s">
        <v>49</v>
      </c>
      <c r="F43" s="3" t="s">
        <v>102</v>
      </c>
    </row>
    <row r="44" spans="1:7" s="25" customFormat="1" ht="15">
      <c r="A44" s="3"/>
      <c r="B44" s="3"/>
      <c r="C44" s="101"/>
      <c r="D44" s="3"/>
      <c r="E44" s="3"/>
      <c r="F44" s="4" t="s">
        <v>303</v>
      </c>
      <c r="G44" s="3"/>
    </row>
    <row r="45" spans="1:10" s="25" customFormat="1" ht="1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7" s="25" customFormat="1" ht="15">
      <c r="A46" s="3"/>
      <c r="B46" s="3"/>
      <c r="C46" s="106" t="s">
        <v>51</v>
      </c>
      <c r="D46" s="3"/>
      <c r="E46" s="14"/>
      <c r="F46" s="14"/>
      <c r="G46" s="14"/>
    </row>
    <row r="47" s="25" customFormat="1" ht="12.75"/>
  </sheetData>
  <sheetProtection/>
  <mergeCells count="16"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F45" sqref="F45:G45"/>
    </sheetView>
  </sheetViews>
  <sheetFormatPr defaultColWidth="9.140625" defaultRowHeight="15" outlineLevelCol="1"/>
  <cols>
    <col min="1" max="1" width="4.8515625" style="23" customWidth="1"/>
    <col min="2" max="2" width="48.57421875" style="23" customWidth="1"/>
    <col min="3" max="3" width="15.85156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255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256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40624.46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-13464.05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149" customFormat="1" ht="14.25">
      <c r="A17" s="163" t="s">
        <v>14</v>
      </c>
      <c r="B17" s="129" t="s">
        <v>15</v>
      </c>
      <c r="C17" s="145">
        <f>C18+C19+C20+C21</f>
        <v>8.93</v>
      </c>
      <c r="D17" s="146">
        <v>77283.72</v>
      </c>
      <c r="E17" s="146">
        <v>68294.72</v>
      </c>
      <c r="F17" s="146">
        <f>D17</f>
        <v>77283.72</v>
      </c>
      <c r="G17" s="147">
        <f>E17-D17</f>
        <v>-8989</v>
      </c>
      <c r="H17" s="70">
        <f>C17</f>
        <v>8.93</v>
      </c>
      <c r="O17" s="148"/>
      <c r="P17" s="150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27867.14203807391</v>
      </c>
      <c r="E18" s="67">
        <f>E17*I18</f>
        <v>24625.867681970885</v>
      </c>
      <c r="F18" s="67">
        <f>D18</f>
        <v>27867.14203807391</v>
      </c>
      <c r="G18" s="68">
        <f aca="true" t="shared" si="0" ref="G18:G26">E18-D18</f>
        <v>-3241.2743561030256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13673.939260918252</v>
      </c>
      <c r="E19" s="67">
        <f>E17*I19</f>
        <v>12083.500291153414</v>
      </c>
      <c r="F19" s="67">
        <f>D19</f>
        <v>13673.939260918252</v>
      </c>
      <c r="G19" s="68">
        <f t="shared" si="0"/>
        <v>-1590.4389697648385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12289.236550951846</v>
      </c>
      <c r="E20" s="67">
        <f>E17*I20</f>
        <v>10859.854692049272</v>
      </c>
      <c r="F20" s="67">
        <f>D20</f>
        <v>12289.236550951846</v>
      </c>
      <c r="G20" s="68">
        <f t="shared" si="0"/>
        <v>-1429.381858902574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23453.40215005599</v>
      </c>
      <c r="E21" s="67">
        <f>E17*I21</f>
        <v>20725.49733482643</v>
      </c>
      <c r="F21" s="67">
        <f>D21</f>
        <v>23453.40215005599</v>
      </c>
      <c r="G21" s="68">
        <f t="shared" si="0"/>
        <v>-2727.904815229562</v>
      </c>
      <c r="H21" s="70">
        <f>C21</f>
        <v>2.71</v>
      </c>
      <c r="I21" s="32">
        <f>H21/H17</f>
        <v>0.303471444568869</v>
      </c>
    </row>
    <row r="22" spans="1:7" s="154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</row>
    <row r="23" spans="1:7" s="154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599.24</v>
      </c>
      <c r="F23" s="153">
        <f>D23</f>
        <v>0</v>
      </c>
      <c r="G23" s="153">
        <f t="shared" si="0"/>
        <v>599.24</v>
      </c>
    </row>
    <row r="24" spans="1:7" s="154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</row>
    <row r="25" spans="1:7" s="154" customFormat="1" ht="14.25">
      <c r="A25" s="191" t="s">
        <v>31</v>
      </c>
      <c r="B25" s="191" t="s">
        <v>131</v>
      </c>
      <c r="C25" s="153">
        <v>1.74</v>
      </c>
      <c r="D25" s="153">
        <v>15058.68</v>
      </c>
      <c r="E25" s="153">
        <v>13387.84</v>
      </c>
      <c r="F25" s="153">
        <f>F40</f>
        <v>14757.0984</v>
      </c>
      <c r="G25" s="153">
        <f>E25-D25</f>
        <v>-1670.8400000000001</v>
      </c>
    </row>
    <row r="26" spans="1:7" s="37" customFormat="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</row>
    <row r="27" spans="1:7" s="37" customFormat="1" ht="14.25">
      <c r="A27" s="129" t="s">
        <v>35</v>
      </c>
      <c r="B27" s="129" t="s">
        <v>36</v>
      </c>
      <c r="C27" s="147"/>
      <c r="D27" s="147">
        <f>SUM(D28:D31)</f>
        <v>474094.82999999996</v>
      </c>
      <c r="E27" s="147">
        <f>SUM(E28:E31)</f>
        <v>407342.14999999997</v>
      </c>
      <c r="F27" s="147">
        <f>SUM(F28:F31)</f>
        <v>474094.82999999996</v>
      </c>
      <c r="G27" s="147">
        <f>SUM(G28:G31)</f>
        <v>-66752.68000000001</v>
      </c>
    </row>
    <row r="28" spans="1:7" ht="15">
      <c r="A28" s="9" t="s">
        <v>37</v>
      </c>
      <c r="B28" s="9" t="s">
        <v>235</v>
      </c>
      <c r="C28" s="134" t="s">
        <v>315</v>
      </c>
      <c r="D28" s="68">
        <v>2277.18</v>
      </c>
      <c r="E28" s="68">
        <v>2024.21</v>
      </c>
      <c r="F28" s="68">
        <f>D28</f>
        <v>2277.18</v>
      </c>
      <c r="G28" s="68">
        <f>E28-D28</f>
        <v>-252.9699999999998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97143.98</v>
      </c>
      <c r="E29" s="68">
        <v>89172.47</v>
      </c>
      <c r="F29" s="68">
        <f>D29</f>
        <v>97143.98</v>
      </c>
      <c r="G29" s="68">
        <f>E29-D29</f>
        <v>-7971.509999999995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374673.67</v>
      </c>
      <c r="E31" s="68">
        <v>316145.47</v>
      </c>
      <c r="F31" s="68">
        <f>D31</f>
        <v>374673.67</v>
      </c>
      <c r="G31" s="68">
        <f>E31-D31</f>
        <v>-58528.20000000001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117437.74000000005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-14833.3084</v>
      </c>
      <c r="H35" s="40"/>
      <c r="I35" s="40"/>
    </row>
    <row r="36" spans="1:13" s="20" customFormat="1" ht="9.75" customHeigh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1" ht="28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4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N39" s="54"/>
    </row>
    <row r="40" spans="1:14" s="12" customFormat="1" ht="15">
      <c r="A40" s="11" t="s">
        <v>47</v>
      </c>
      <c r="B40" s="287" t="s">
        <v>126</v>
      </c>
      <c r="C40" s="288"/>
      <c r="D40" s="157"/>
      <c r="E40" s="157"/>
      <c r="F40" s="295">
        <f>SUM(F41:G45)</f>
        <v>14757.0984</v>
      </c>
      <c r="G40" s="291"/>
      <c r="H40" s="59"/>
      <c r="I40" s="60"/>
      <c r="N40" s="55"/>
    </row>
    <row r="41" spans="1:14" ht="15.75" customHeight="1">
      <c r="A41" s="9" t="s">
        <v>16</v>
      </c>
      <c r="B41" s="271" t="s">
        <v>679</v>
      </c>
      <c r="C41" s="273"/>
      <c r="D41" s="158" t="s">
        <v>233</v>
      </c>
      <c r="E41" s="158">
        <v>0.04</v>
      </c>
      <c r="F41" s="308">
        <v>5581.16</v>
      </c>
      <c r="G41" s="309"/>
      <c r="H41" s="61"/>
      <c r="I41" s="62"/>
      <c r="N41" s="56"/>
    </row>
    <row r="42" spans="1:7" ht="15">
      <c r="A42" s="9" t="s">
        <v>18</v>
      </c>
      <c r="B42" s="271" t="s">
        <v>680</v>
      </c>
      <c r="C42" s="273"/>
      <c r="D42" s="158" t="s">
        <v>233</v>
      </c>
      <c r="E42" s="158">
        <v>0.03</v>
      </c>
      <c r="F42" s="294">
        <v>2048.84</v>
      </c>
      <c r="G42" s="294"/>
    </row>
    <row r="43" spans="1:7" ht="15">
      <c r="A43" s="9" t="s">
        <v>20</v>
      </c>
      <c r="B43" s="271" t="s">
        <v>681</v>
      </c>
      <c r="C43" s="273"/>
      <c r="D43" s="158" t="s">
        <v>234</v>
      </c>
      <c r="E43" s="158">
        <v>0.01</v>
      </c>
      <c r="F43" s="294">
        <v>3578.95</v>
      </c>
      <c r="G43" s="294"/>
    </row>
    <row r="44" spans="1:7" ht="15">
      <c r="A44" s="9" t="s">
        <v>22</v>
      </c>
      <c r="B44" s="271" t="s">
        <v>682</v>
      </c>
      <c r="C44" s="273"/>
      <c r="D44" s="158" t="s">
        <v>233</v>
      </c>
      <c r="E44" s="158">
        <v>0.01</v>
      </c>
      <c r="F44" s="294">
        <v>3414.27</v>
      </c>
      <c r="G44" s="294"/>
    </row>
    <row r="45" spans="1:7" s="25" customFormat="1" ht="15">
      <c r="A45" s="9" t="s">
        <v>24</v>
      </c>
      <c r="B45" s="171" t="s">
        <v>286</v>
      </c>
      <c r="C45" s="172"/>
      <c r="D45" s="199"/>
      <c r="E45" s="199"/>
      <c r="F45" s="296">
        <f>E25*1%</f>
        <v>133.8784</v>
      </c>
      <c r="G45" s="296"/>
    </row>
    <row r="46" s="25" customFormat="1" ht="12.75"/>
    <row r="47" spans="1:6" s="3" customFormat="1" ht="15">
      <c r="A47" s="3" t="s">
        <v>55</v>
      </c>
      <c r="C47" s="101" t="s">
        <v>49</v>
      </c>
      <c r="F47" s="3" t="s">
        <v>102</v>
      </c>
    </row>
    <row r="48" spans="1:7" s="25" customFormat="1" ht="15">
      <c r="A48" s="3"/>
      <c r="B48" s="3"/>
      <c r="C48" s="101"/>
      <c r="D48" s="3"/>
      <c r="E48" s="3"/>
      <c r="F48" s="4" t="s">
        <v>303</v>
      </c>
      <c r="G48" s="3"/>
    </row>
    <row r="49" spans="1:10" s="25" customFormat="1" ht="15">
      <c r="A49" s="3" t="s">
        <v>50</v>
      </c>
      <c r="B49" s="3"/>
      <c r="C49" s="101"/>
      <c r="D49" s="3"/>
      <c r="E49" s="3"/>
      <c r="F49" s="3"/>
      <c r="G49" s="3"/>
      <c r="H49" s="34"/>
      <c r="I49" s="34"/>
      <c r="J49" s="34"/>
    </row>
    <row r="50" spans="1:7" s="25" customFormat="1" ht="15">
      <c r="A50" s="3"/>
      <c r="B50" s="3"/>
      <c r="C50" s="106" t="s">
        <v>51</v>
      </c>
      <c r="D50" s="3"/>
      <c r="E50" s="14"/>
      <c r="F50" s="14"/>
      <c r="G50" s="14"/>
    </row>
    <row r="51" s="25" customFormat="1" ht="12.75"/>
  </sheetData>
  <sheetProtection/>
  <mergeCells count="23">
    <mergeCell ref="B44:C44"/>
    <mergeCell ref="A37:K37"/>
    <mergeCell ref="B39:C39"/>
    <mergeCell ref="F39:G39"/>
    <mergeCell ref="F45:G45"/>
    <mergeCell ref="B43:C43"/>
    <mergeCell ref="F43:G43"/>
    <mergeCell ref="B40:C40"/>
    <mergeCell ref="F40:G40"/>
    <mergeCell ref="B41:C41"/>
    <mergeCell ref="F41:G41"/>
    <mergeCell ref="F44:G44"/>
    <mergeCell ref="B42:C42"/>
    <mergeCell ref="F42:G42"/>
    <mergeCell ref="A11:K11"/>
    <mergeCell ref="A12:C12"/>
    <mergeCell ref="A33:C33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40" sqref="F40:G40"/>
    </sheetView>
  </sheetViews>
  <sheetFormatPr defaultColWidth="9.140625" defaultRowHeight="15" outlineLevelCol="1"/>
  <cols>
    <col min="1" max="1" width="5.8515625" style="23" customWidth="1"/>
    <col min="2" max="2" width="47.003906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209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210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496.08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6351.23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77407.08</v>
      </c>
      <c r="E17" s="146">
        <v>75236.28</v>
      </c>
      <c r="F17" s="146">
        <f>D17</f>
        <v>77407.08</v>
      </c>
      <c r="G17" s="147">
        <f>E17-D17</f>
        <v>-2170.800000000003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27911.62347144457</v>
      </c>
      <c r="E18" s="67">
        <f>E17*I18</f>
        <v>27128.87139977604</v>
      </c>
      <c r="F18" s="67">
        <f>D18</f>
        <v>27911.62347144457</v>
      </c>
      <c r="G18" s="68">
        <f aca="true" t="shared" si="0" ref="G18:G26">E18-D18</f>
        <v>-782.7520716685322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13695.765554311309</v>
      </c>
      <c r="E19" s="67">
        <f>E17*I19</f>
        <v>13311.682239641656</v>
      </c>
      <c r="F19" s="67">
        <f>D19</f>
        <v>13695.765554311309</v>
      </c>
      <c r="G19" s="68">
        <f t="shared" si="0"/>
        <v>-384.0833146696532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12308.852586786114</v>
      </c>
      <c r="E20" s="67">
        <f>E17*I20</f>
        <v>11963.6637849944</v>
      </c>
      <c r="F20" s="67">
        <f>D20</f>
        <v>12308.852586786114</v>
      </c>
      <c r="G20" s="68">
        <f t="shared" si="0"/>
        <v>-345.18880179171356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23490.838387458007</v>
      </c>
      <c r="E21" s="67">
        <f>E17*I21</f>
        <v>22832.062575587905</v>
      </c>
      <c r="F21" s="67">
        <f>D21</f>
        <v>23490.838387458007</v>
      </c>
      <c r="G21" s="68">
        <f t="shared" si="0"/>
        <v>-658.7758118701022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167.06</v>
      </c>
      <c r="F23" s="153">
        <f>D23</f>
        <v>0</v>
      </c>
      <c r="G23" s="153">
        <f t="shared" si="0"/>
        <v>167.06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15082.68</v>
      </c>
      <c r="E25" s="153">
        <v>14659.13</v>
      </c>
      <c r="F25" s="153">
        <f>F40</f>
        <v>146.5913</v>
      </c>
      <c r="G25" s="153">
        <f>E25-D25</f>
        <v>-423.5500000000011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129977.72</v>
      </c>
      <c r="E27" s="147">
        <f>SUM(E28:E31)</f>
        <v>129541.43</v>
      </c>
      <c r="F27" s="147">
        <f>SUM(F28:F31)</f>
        <v>129977.72</v>
      </c>
      <c r="G27" s="147">
        <f>SUM(G28:G31)</f>
        <v>-436.2899999999963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2486.1</v>
      </c>
      <c r="E28" s="68">
        <v>2416.4</v>
      </c>
      <c r="F28" s="68">
        <f>D28</f>
        <v>2486.1</v>
      </c>
      <c r="G28" s="68">
        <f>E28-D28</f>
        <v>-69.69999999999982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127491.62</v>
      </c>
      <c r="E29" s="68">
        <v>127125.03</v>
      </c>
      <c r="F29" s="68">
        <f>D29</f>
        <v>127491.62</v>
      </c>
      <c r="G29" s="68">
        <f>E29-D29</f>
        <v>-366.5899999999965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3359.6600000000035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20863.7687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8" ht="23.25" customHeight="1"/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SUM(F41:G41)</f>
        <v>146.5913</v>
      </c>
      <c r="G40" s="291"/>
      <c r="H40" s="59"/>
      <c r="I40" s="60"/>
      <c r="J40" s="12"/>
      <c r="K40" s="12"/>
      <c r="N40" s="54"/>
    </row>
    <row r="41" spans="1:7" s="25" customFormat="1" ht="15">
      <c r="A41" s="9" t="s">
        <v>16</v>
      </c>
      <c r="B41" s="306" t="s">
        <v>286</v>
      </c>
      <c r="C41" s="307"/>
      <c r="D41" s="199"/>
      <c r="E41" s="199"/>
      <c r="F41" s="296">
        <f>E25*1%</f>
        <v>146.5913</v>
      </c>
      <c r="G41" s="296"/>
    </row>
    <row r="42" s="25" customFormat="1" ht="12.75"/>
    <row r="43" spans="1:6" s="3" customFormat="1" ht="15">
      <c r="A43" s="3" t="s">
        <v>55</v>
      </c>
      <c r="C43" s="101" t="s">
        <v>49</v>
      </c>
      <c r="F43" s="3" t="s">
        <v>102</v>
      </c>
    </row>
    <row r="44" spans="1:7" s="25" customFormat="1" ht="15">
      <c r="A44" s="3"/>
      <c r="B44" s="3"/>
      <c r="C44" s="101"/>
      <c r="D44" s="3"/>
      <c r="E44" s="3"/>
      <c r="F44" s="4" t="s">
        <v>303</v>
      </c>
      <c r="G44" s="3"/>
    </row>
    <row r="45" spans="1:10" s="25" customFormat="1" ht="1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7" s="25" customFormat="1" ht="15">
      <c r="A46" s="3"/>
      <c r="B46" s="3"/>
      <c r="C46" s="106" t="s">
        <v>51</v>
      </c>
      <c r="D46" s="3"/>
      <c r="E46" s="14"/>
      <c r="F46" s="14"/>
      <c r="G46" s="14"/>
    </row>
    <row r="47" s="25" customFormat="1" ht="12.75"/>
  </sheetData>
  <sheetProtection/>
  <mergeCells count="16">
    <mergeCell ref="F41:G41"/>
    <mergeCell ref="B41:C41"/>
    <mergeCell ref="A11:K11"/>
    <mergeCell ref="A12:C12"/>
    <mergeCell ref="A33:C33"/>
    <mergeCell ref="A37:K37"/>
    <mergeCell ref="B39:C39"/>
    <mergeCell ref="F39:G39"/>
    <mergeCell ref="B40:C40"/>
    <mergeCell ref="F40:G40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5.8515625" style="23" customWidth="1"/>
    <col min="2" max="2" width="47.003906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259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260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50837.45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19714.47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75960.48</v>
      </c>
      <c r="E17" s="146">
        <v>61870.05</v>
      </c>
      <c r="F17" s="146">
        <f>D17</f>
        <v>75960.48</v>
      </c>
      <c r="G17" s="147">
        <f>E17-D17</f>
        <v>-14090.429999999993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27390.005106382978</v>
      </c>
      <c r="E18" s="67">
        <f>E17*I18</f>
        <v>22309.245352743565</v>
      </c>
      <c r="F18" s="67">
        <f>D18</f>
        <v>27390.005106382978</v>
      </c>
      <c r="G18" s="68">
        <f aca="true" t="shared" si="0" ref="G18:G26">E18-D18</f>
        <v>-5080.759753639413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13439.816170212764</v>
      </c>
      <c r="E19" s="67">
        <f>E17*I19</f>
        <v>10946.772564389697</v>
      </c>
      <c r="F19" s="67">
        <f>D19</f>
        <v>13439.816170212764</v>
      </c>
      <c r="G19" s="68">
        <f t="shared" si="0"/>
        <v>-2493.043605823066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12078.822127659572</v>
      </c>
      <c r="E20" s="67">
        <f>E17*I20</f>
        <v>9838.238633818588</v>
      </c>
      <c r="F20" s="67">
        <f>D20</f>
        <v>12078.822127659572</v>
      </c>
      <c r="G20" s="68">
        <f t="shared" si="0"/>
        <v>-2240.5834938409844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23051.83659574468</v>
      </c>
      <c r="E21" s="67">
        <f>E17*I21</f>
        <v>18775.793449048153</v>
      </c>
      <c r="F21" s="67">
        <f>D21</f>
        <v>23051.83659574468</v>
      </c>
      <c r="G21" s="68">
        <f t="shared" si="0"/>
        <v>-4276.043146696527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215.73</v>
      </c>
      <c r="F23" s="153">
        <f>D23</f>
        <v>0</v>
      </c>
      <c r="G23" s="153">
        <f t="shared" si="0"/>
        <v>215.73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33287.6</v>
      </c>
      <c r="E25" s="153">
        <v>26816.31</v>
      </c>
      <c r="F25" s="153">
        <f>F40</f>
        <v>10032.0531</v>
      </c>
      <c r="G25" s="153">
        <f>E25-D25</f>
        <v>-6471.289999999997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498663.47</v>
      </c>
      <c r="E27" s="147">
        <f>SUM(E28:E31)</f>
        <v>383306.01</v>
      </c>
      <c r="F27" s="147">
        <f>SUM(F28:F31)</f>
        <v>498663.47</v>
      </c>
      <c r="G27" s="147">
        <f>SUM(G28:G31)</f>
        <v>-115357.46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2307.24</v>
      </c>
      <c r="E28" s="68">
        <v>1895.6</v>
      </c>
      <c r="F28" s="68">
        <f>D28</f>
        <v>2307.24</v>
      </c>
      <c r="G28" s="68">
        <f>E28-D28</f>
        <v>-411.6399999999999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128098.54</v>
      </c>
      <c r="E29" s="68">
        <v>103448.86</v>
      </c>
      <c r="F29" s="68">
        <f>D29</f>
        <v>128098.54</v>
      </c>
      <c r="G29" s="68">
        <f>E29-D29</f>
        <v>-24649.679999999993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368257.69</v>
      </c>
      <c r="E31" s="68">
        <v>277961.55</v>
      </c>
      <c r="F31" s="68">
        <f>D31</f>
        <v>368257.69</v>
      </c>
      <c r="G31" s="68">
        <f>E31-D31</f>
        <v>-90296.14000000001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186540.8999999999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36498.7269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8" ht="23.25" customHeight="1"/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SUM(F41:G43)</f>
        <v>10032.0531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683</v>
      </c>
      <c r="C41" s="273"/>
      <c r="D41" s="158" t="s">
        <v>233</v>
      </c>
      <c r="E41" s="158">
        <v>0.02</v>
      </c>
      <c r="F41" s="308">
        <v>1945.88</v>
      </c>
      <c r="G41" s="309"/>
      <c r="H41" s="61"/>
      <c r="I41" s="62"/>
      <c r="J41" s="23"/>
      <c r="K41" s="23"/>
      <c r="N41" s="55"/>
    </row>
    <row r="42" spans="1:14" s="12" customFormat="1" ht="15">
      <c r="A42" s="9" t="s">
        <v>18</v>
      </c>
      <c r="B42" s="271" t="s">
        <v>562</v>
      </c>
      <c r="C42" s="273"/>
      <c r="D42" s="158" t="s">
        <v>234</v>
      </c>
      <c r="E42" s="158">
        <v>0.01</v>
      </c>
      <c r="F42" s="308">
        <v>7818.01</v>
      </c>
      <c r="G42" s="309"/>
      <c r="H42" s="90"/>
      <c r="I42" s="90"/>
      <c r="J42" s="23"/>
      <c r="K42" s="23"/>
      <c r="N42" s="55"/>
    </row>
    <row r="43" spans="1:7" s="25" customFormat="1" ht="15">
      <c r="A43" s="9" t="s">
        <v>20</v>
      </c>
      <c r="B43" s="306" t="s">
        <v>286</v>
      </c>
      <c r="C43" s="307"/>
      <c r="D43" s="199"/>
      <c r="E43" s="199"/>
      <c r="F43" s="296">
        <f>E25*1%</f>
        <v>268.16310000000004</v>
      </c>
      <c r="G43" s="296"/>
    </row>
    <row r="44" s="25" customFormat="1" ht="12.75"/>
    <row r="45" spans="1:6" s="3" customFormat="1" ht="15">
      <c r="A45" s="3" t="s">
        <v>55</v>
      </c>
      <c r="C45" s="101" t="s">
        <v>49</v>
      </c>
      <c r="F45" s="3" t="s">
        <v>102</v>
      </c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10" s="25" customFormat="1" ht="15">
      <c r="A47" s="3" t="s">
        <v>50</v>
      </c>
      <c r="B47" s="3"/>
      <c r="C47" s="101"/>
      <c r="D47" s="3"/>
      <c r="E47" s="3"/>
      <c r="F47" s="3"/>
      <c r="G47" s="3"/>
      <c r="H47" s="34"/>
      <c r="I47" s="34"/>
      <c r="J47" s="34"/>
    </row>
    <row r="48" spans="1:7" s="25" customFormat="1" ht="15">
      <c r="A48" s="3"/>
      <c r="B48" s="3"/>
      <c r="C48" s="106" t="s">
        <v>51</v>
      </c>
      <c r="D48" s="3"/>
      <c r="E48" s="14"/>
      <c r="F48" s="14"/>
      <c r="G48" s="14"/>
    </row>
    <row r="49" s="25" customFormat="1" ht="12.75"/>
  </sheetData>
  <sheetProtection/>
  <mergeCells count="20">
    <mergeCell ref="B40:C40"/>
    <mergeCell ref="F40:G40"/>
    <mergeCell ref="B41:C41"/>
    <mergeCell ref="F41:G41"/>
    <mergeCell ref="B43:C43"/>
    <mergeCell ref="F43:G43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G15" sqref="G15"/>
    </sheetView>
  </sheetViews>
  <sheetFormatPr defaultColWidth="9.140625" defaultRowHeight="15" outlineLevelCol="1"/>
  <cols>
    <col min="1" max="1" width="4.7109375" style="1" customWidth="1"/>
    <col min="2" max="2" width="46.8515625" style="1" customWidth="1"/>
    <col min="3" max="3" width="13.57421875" style="1" customWidth="1"/>
    <col min="4" max="5" width="13.140625" style="1" bestFit="1" customWidth="1"/>
    <col min="6" max="6" width="14.14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6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6" ht="8.25" customHeight="1"/>
    <row r="7" spans="1:6" s="3" customFormat="1" ht="16.5" customHeight="1">
      <c r="A7" s="3" t="s">
        <v>2</v>
      </c>
      <c r="F7" s="4" t="s">
        <v>136</v>
      </c>
    </row>
    <row r="8" spans="1:6" s="3" customFormat="1" ht="15">
      <c r="A8" s="3" t="s">
        <v>3</v>
      </c>
      <c r="F8" s="4" t="s">
        <v>178</v>
      </c>
    </row>
    <row r="9" s="3" customFormat="1" ht="7.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456281.6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93">
        <v>-696908.28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93">
        <v>-95211.93</v>
      </c>
      <c r="H16" s="40"/>
      <c r="I16" s="40"/>
    </row>
    <row r="17" s="3" customFormat="1" ht="6.75" customHeight="1"/>
    <row r="18" spans="1:8" s="18" customFormat="1" ht="5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  <c r="H18" s="6" t="s">
        <v>298</v>
      </c>
    </row>
    <row r="19" spans="1:8" s="165" customFormat="1" ht="28.5">
      <c r="A19" s="163" t="s">
        <v>14</v>
      </c>
      <c r="B19" s="129" t="s">
        <v>15</v>
      </c>
      <c r="C19" s="145">
        <f>C20+C21+C22+C23</f>
        <v>8.93</v>
      </c>
      <c r="D19" s="146">
        <v>381264.72</v>
      </c>
      <c r="E19" s="146">
        <v>363358.47</v>
      </c>
      <c r="F19" s="146">
        <f>D19</f>
        <v>381264.72</v>
      </c>
      <c r="G19" s="147">
        <f aca="true" t="shared" si="0" ref="G19:G28">E19-D19</f>
        <v>-17906.25</v>
      </c>
      <c r="H19" s="164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137477.31225083987</v>
      </c>
      <c r="E20" s="67">
        <f>E19*I20</f>
        <v>131020.63531914893</v>
      </c>
      <c r="F20" s="67">
        <f>D20</f>
        <v>137477.31225083987</v>
      </c>
      <c r="G20" s="68">
        <f t="shared" si="0"/>
        <v>-6456.676931690934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67457.81160134377</v>
      </c>
      <c r="E21" s="67">
        <f>E19*I21</f>
        <v>64289.628510638286</v>
      </c>
      <c r="F21" s="67">
        <f>D21</f>
        <v>67457.81160134377</v>
      </c>
      <c r="G21" s="68">
        <f t="shared" si="0"/>
        <v>-3168.1830907054828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60626.64080627099</v>
      </c>
      <c r="E22" s="67">
        <f>E19*I22</f>
        <v>57779.28638297872</v>
      </c>
      <c r="F22" s="67">
        <f>D22</f>
        <v>60626.64080627099</v>
      </c>
      <c r="G22" s="68">
        <f t="shared" si="0"/>
        <v>-2847.3544232922723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115702.95534154534</v>
      </c>
      <c r="E23" s="67">
        <f>E19*I23</f>
        <v>110268.91978723403</v>
      </c>
      <c r="F23" s="67">
        <f>D23</f>
        <v>115702.95534154534</v>
      </c>
      <c r="G23" s="68">
        <f t="shared" si="0"/>
        <v>-5434.035554311311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6738.79</v>
      </c>
      <c r="F25" s="146">
        <f>D25</f>
        <v>0</v>
      </c>
      <c r="G25" s="147">
        <f t="shared" si="0"/>
        <v>6738.79</v>
      </c>
    </row>
    <row r="26" spans="1:7" s="162" customFormat="1" ht="14.25">
      <c r="A26" s="129" t="s">
        <v>29</v>
      </c>
      <c r="B26" s="151" t="s">
        <v>230</v>
      </c>
      <c r="C26" s="152">
        <v>1832.48</v>
      </c>
      <c r="D26" s="147">
        <v>12960.19</v>
      </c>
      <c r="E26" s="147">
        <v>12344.62</v>
      </c>
      <c r="F26" s="146">
        <f t="shared" si="1"/>
        <v>12960.19</v>
      </c>
      <c r="G26" s="147">
        <f t="shared" si="0"/>
        <v>-615.5699999999997</v>
      </c>
    </row>
    <row r="27" spans="1:7" s="162" customFormat="1" ht="14.25">
      <c r="A27" s="129" t="s">
        <v>31</v>
      </c>
      <c r="B27" s="151" t="s">
        <v>131</v>
      </c>
      <c r="C27" s="175">
        <v>3</v>
      </c>
      <c r="D27" s="147">
        <v>128084.4</v>
      </c>
      <c r="E27" s="147">
        <v>112710.71</v>
      </c>
      <c r="F27" s="146">
        <f>F43</f>
        <v>70772.9871</v>
      </c>
      <c r="G27" s="147">
        <f t="shared" si="0"/>
        <v>-15373.689999999988</v>
      </c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886.88</v>
      </c>
      <c r="F28" s="146">
        <f>D28</f>
        <v>0</v>
      </c>
      <c r="G28" s="147">
        <f t="shared" si="0"/>
        <v>886.88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1403234.86</v>
      </c>
      <c r="E29" s="147">
        <f>SUM(E30:E33)</f>
        <v>1369180.28</v>
      </c>
      <c r="F29" s="146">
        <f t="shared" si="1"/>
        <v>1403234.86</v>
      </c>
      <c r="G29" s="147">
        <f>SUM(G30:G33)</f>
        <v>-34054.58000000003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10247.04</v>
      </c>
      <c r="E30" s="68">
        <v>9773.12</v>
      </c>
      <c r="F30" s="67">
        <f>D30</f>
        <v>10247.04</v>
      </c>
      <c r="G30" s="68">
        <f>E30-D30</f>
        <v>-473.9200000000001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561801.14</v>
      </c>
      <c r="E31" s="68">
        <v>552463.1</v>
      </c>
      <c r="F31" s="67">
        <f t="shared" si="1"/>
        <v>561801.14</v>
      </c>
      <c r="G31" s="68">
        <f>E31-D31</f>
        <v>-9338.040000000037</v>
      </c>
    </row>
    <row r="32" spans="1:7" ht="15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831186.68</v>
      </c>
      <c r="E33" s="68">
        <v>806944.06</v>
      </c>
      <c r="F33" s="67">
        <f t="shared" si="1"/>
        <v>831186.68</v>
      </c>
      <c r="G33" s="68">
        <f>E33-D33</f>
        <v>-24242.619999999995</v>
      </c>
    </row>
    <row r="34" spans="1:10" s="20" customFormat="1" ht="1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516606.02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-696021.4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E27+G16-F27</f>
        <v>-53274.207099999985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5.5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8.25" customHeight="1"/>
    <row r="42" spans="1:7" s="7" customFormat="1" ht="28.5" customHeight="1">
      <c r="A42" s="5" t="s">
        <v>11</v>
      </c>
      <c r="B42" s="166" t="s">
        <v>45</v>
      </c>
      <c r="C42" s="167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3.5" customHeight="1">
      <c r="A43" s="11" t="s">
        <v>47</v>
      </c>
      <c r="B43" s="287" t="s">
        <v>126</v>
      </c>
      <c r="C43" s="288"/>
      <c r="D43" s="169"/>
      <c r="E43" s="169"/>
      <c r="F43" s="302">
        <f>SUM(F44:G49)</f>
        <v>70772.9871</v>
      </c>
      <c r="G43" s="303"/>
    </row>
    <row r="44" spans="1:7" ht="13.5" customHeight="1">
      <c r="A44" s="9" t="s">
        <v>16</v>
      </c>
      <c r="B44" s="298" t="s">
        <v>433</v>
      </c>
      <c r="C44" s="299"/>
      <c r="D44" s="168" t="s">
        <v>416</v>
      </c>
      <c r="E44" s="161">
        <v>0.54</v>
      </c>
      <c r="F44" s="297">
        <v>14133.96</v>
      </c>
      <c r="G44" s="297"/>
    </row>
    <row r="45" spans="1:7" ht="13.5" customHeight="1">
      <c r="A45" s="9" t="s">
        <v>18</v>
      </c>
      <c r="B45" s="298" t="s">
        <v>247</v>
      </c>
      <c r="C45" s="299"/>
      <c r="D45" s="168" t="s">
        <v>434</v>
      </c>
      <c r="E45" s="161">
        <v>0.22</v>
      </c>
      <c r="F45" s="297">
        <v>12994.22</v>
      </c>
      <c r="G45" s="297"/>
    </row>
    <row r="46" spans="1:7" ht="23.25" customHeight="1">
      <c r="A46" s="9" t="s">
        <v>20</v>
      </c>
      <c r="B46" s="298" t="s">
        <v>435</v>
      </c>
      <c r="C46" s="299"/>
      <c r="D46" s="168" t="s">
        <v>238</v>
      </c>
      <c r="E46" s="161">
        <v>8</v>
      </c>
      <c r="F46" s="300">
        <v>8800</v>
      </c>
      <c r="G46" s="301"/>
    </row>
    <row r="47" spans="1:7" ht="15">
      <c r="A47" s="9" t="s">
        <v>22</v>
      </c>
      <c r="B47" s="298" t="s">
        <v>237</v>
      </c>
      <c r="C47" s="299"/>
      <c r="D47" s="179" t="s">
        <v>417</v>
      </c>
      <c r="E47" s="180">
        <v>20</v>
      </c>
      <c r="F47" s="300">
        <v>17000</v>
      </c>
      <c r="G47" s="301"/>
    </row>
    <row r="48" spans="1:7" ht="13.5" customHeight="1">
      <c r="A48" s="9" t="s">
        <v>24</v>
      </c>
      <c r="B48" s="298" t="s">
        <v>436</v>
      </c>
      <c r="C48" s="299"/>
      <c r="D48" s="179" t="s">
        <v>410</v>
      </c>
      <c r="E48" s="180">
        <v>0.64</v>
      </c>
      <c r="F48" s="300">
        <v>16717.7</v>
      </c>
      <c r="G48" s="301"/>
    </row>
    <row r="49" spans="1:7" ht="13.5" customHeight="1">
      <c r="A49" s="9" t="s">
        <v>116</v>
      </c>
      <c r="B49" s="298" t="s">
        <v>286</v>
      </c>
      <c r="C49" s="299"/>
      <c r="D49" s="168"/>
      <c r="E49" s="161"/>
      <c r="F49" s="297">
        <f>E27*1%</f>
        <v>1127.1071000000002</v>
      </c>
      <c r="G49" s="297"/>
    </row>
    <row r="50" spans="1:7" s="3" customFormat="1" ht="15">
      <c r="A50" s="49"/>
      <c r="B50" s="209"/>
      <c r="C50" s="209"/>
      <c r="D50" s="210"/>
      <c r="E50" s="211"/>
      <c r="F50" s="212"/>
      <c r="G50" s="212"/>
    </row>
    <row r="51" spans="1:6" s="3" customFormat="1" ht="15">
      <c r="A51" s="3" t="s">
        <v>55</v>
      </c>
      <c r="C51" s="3" t="s">
        <v>49</v>
      </c>
      <c r="F51" s="3" t="s">
        <v>102</v>
      </c>
    </row>
    <row r="52" s="3" customFormat="1" ht="13.5" customHeight="1">
      <c r="F52" s="4" t="s">
        <v>303</v>
      </c>
    </row>
    <row r="53" s="3" customFormat="1" ht="15">
      <c r="A53" s="3" t="s">
        <v>50</v>
      </c>
    </row>
    <row r="54" spans="3:7" s="3" customFormat="1" ht="15">
      <c r="C54" s="14" t="s">
        <v>51</v>
      </c>
      <c r="E54" s="14"/>
      <c r="F54" s="14"/>
      <c r="G54" s="14"/>
    </row>
    <row r="55" s="3" customFormat="1" ht="15"/>
    <row r="56" s="3" customFormat="1" ht="15"/>
  </sheetData>
  <sheetProtection/>
  <mergeCells count="25">
    <mergeCell ref="B46:C46"/>
    <mergeCell ref="B45:C45"/>
    <mergeCell ref="F43:G43"/>
    <mergeCell ref="A35:C35"/>
    <mergeCell ref="F44:G44"/>
    <mergeCell ref="F47:G47"/>
    <mergeCell ref="F45:G45"/>
    <mergeCell ref="B44:C44"/>
    <mergeCell ref="A40:I40"/>
    <mergeCell ref="F42:G42"/>
    <mergeCell ref="A11:I11"/>
    <mergeCell ref="F49:G49"/>
    <mergeCell ref="B47:C47"/>
    <mergeCell ref="B48:C48"/>
    <mergeCell ref="F46:G46"/>
    <mergeCell ref="A13:C13"/>
    <mergeCell ref="B43:C43"/>
    <mergeCell ref="F48:G48"/>
    <mergeCell ref="B49:C49"/>
    <mergeCell ref="A1:I1"/>
    <mergeCell ref="A2:I2"/>
    <mergeCell ref="A5:I5"/>
    <mergeCell ref="A10:I10"/>
    <mergeCell ref="A3:K3"/>
    <mergeCell ref="A12:I12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42" sqref="F42"/>
    </sheetView>
  </sheetViews>
  <sheetFormatPr defaultColWidth="9.140625" defaultRowHeight="15" outlineLevelCol="1"/>
  <cols>
    <col min="1" max="1" width="5.8515625" style="23" customWidth="1"/>
    <col min="2" max="2" width="47.003906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261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262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25205.39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8555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66707.16</v>
      </c>
      <c r="E17" s="146">
        <v>64738.23</v>
      </c>
      <c r="F17" s="146">
        <f>D17</f>
        <v>66707.16</v>
      </c>
      <c r="G17" s="147">
        <f>E17-D17</f>
        <v>-1968.9300000000003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24053.42163493841</v>
      </c>
      <c r="E18" s="67">
        <f>E17*I18</f>
        <v>23343.460313549836</v>
      </c>
      <c r="F18" s="67">
        <f>D18</f>
        <v>24053.42163493841</v>
      </c>
      <c r="G18" s="68">
        <f aca="true" t="shared" si="0" ref="G18:G26">E18-D18</f>
        <v>-709.961321388575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11802.610615901454</v>
      </c>
      <c r="E19" s="67">
        <f>E17*I19</f>
        <v>11454.24450167973</v>
      </c>
      <c r="F19" s="67">
        <f>D19</f>
        <v>11802.610615901454</v>
      </c>
      <c r="G19" s="68">
        <f t="shared" si="0"/>
        <v>-348.3661142217243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10607.40954087346</v>
      </c>
      <c r="E20" s="67">
        <f>E17*I20</f>
        <v>10294.321007838746</v>
      </c>
      <c r="F20" s="67">
        <f>D20</f>
        <v>10607.40954087346</v>
      </c>
      <c r="G20" s="68">
        <f t="shared" si="0"/>
        <v>-313.0885330347137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20243.718208286675</v>
      </c>
      <c r="E21" s="67">
        <f>E17*I21</f>
        <v>19646.204176931693</v>
      </c>
      <c r="F21" s="67">
        <f>D21</f>
        <v>20243.718208286675</v>
      </c>
      <c r="G21" s="68">
        <f t="shared" si="0"/>
        <v>-597.5140313549819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1520.73</v>
      </c>
      <c r="F23" s="153">
        <f>D23</f>
        <v>0</v>
      </c>
      <c r="G23" s="153">
        <f t="shared" si="0"/>
        <v>1520.73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12997.68</v>
      </c>
      <c r="E25" s="153">
        <v>12608.79</v>
      </c>
      <c r="F25" s="153">
        <f>F40</f>
        <v>126.0879</v>
      </c>
      <c r="G25" s="153">
        <f>E25-D25</f>
        <v>-388.8899999999994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417649.72</v>
      </c>
      <c r="E27" s="147">
        <f>SUM(E28:E31)</f>
        <v>398566.11</v>
      </c>
      <c r="F27" s="147">
        <f>SUM(F28:F31)</f>
        <v>417649.72</v>
      </c>
      <c r="G27" s="147">
        <f>SUM(G28:G31)</f>
        <v>-19083.609999999993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1735.92</v>
      </c>
      <c r="E28" s="68">
        <v>1684.35</v>
      </c>
      <c r="F28" s="68">
        <f>D28</f>
        <v>1735.92</v>
      </c>
      <c r="G28" s="68">
        <f>E28-D28</f>
        <v>-51.570000000000164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92516.11</v>
      </c>
      <c r="E29" s="68">
        <v>86921.94</v>
      </c>
      <c r="F29" s="68">
        <f>D29</f>
        <v>92516.11</v>
      </c>
      <c r="G29" s="68">
        <f>E29-D29</f>
        <v>-5594.169999999998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323397.69</v>
      </c>
      <c r="E31" s="68">
        <v>309959.82</v>
      </c>
      <c r="F31" s="68">
        <f>D31</f>
        <v>323397.69</v>
      </c>
      <c r="G31" s="68">
        <f>E31-D31</f>
        <v>-13437.869999999995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45126.090000000026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21037.702100000002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8" ht="23.25" customHeight="1"/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SUM(F41:G41)</f>
        <v>126.0879</v>
      </c>
      <c r="G40" s="291"/>
      <c r="H40" s="59"/>
      <c r="I40" s="60"/>
      <c r="J40" s="12"/>
      <c r="K40" s="12"/>
      <c r="N40" s="54"/>
    </row>
    <row r="41" spans="1:7" s="25" customFormat="1" ht="15">
      <c r="A41" s="9" t="s">
        <v>16</v>
      </c>
      <c r="B41" s="306" t="s">
        <v>286</v>
      </c>
      <c r="C41" s="307"/>
      <c r="D41" s="199"/>
      <c r="E41" s="199"/>
      <c r="F41" s="296">
        <f>E25*1%</f>
        <v>126.0879</v>
      </c>
      <c r="G41" s="296"/>
    </row>
    <row r="42" s="25" customFormat="1" ht="12.75"/>
    <row r="43" spans="1:6" s="3" customFormat="1" ht="15">
      <c r="A43" s="3" t="s">
        <v>55</v>
      </c>
      <c r="C43" s="101" t="s">
        <v>49</v>
      </c>
      <c r="F43" s="3" t="s">
        <v>102</v>
      </c>
    </row>
    <row r="44" spans="1:7" s="25" customFormat="1" ht="15">
      <c r="A44" s="3"/>
      <c r="B44" s="3"/>
      <c r="C44" s="101"/>
      <c r="D44" s="3"/>
      <c r="E44" s="3"/>
      <c r="F44" s="4" t="s">
        <v>303</v>
      </c>
      <c r="G44" s="3"/>
    </row>
    <row r="45" spans="1:10" s="25" customFormat="1" ht="1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7" s="25" customFormat="1" ht="15">
      <c r="A46" s="3"/>
      <c r="B46" s="3"/>
      <c r="C46" s="106" t="s">
        <v>51</v>
      </c>
      <c r="D46" s="3"/>
      <c r="E46" s="14"/>
      <c r="F46" s="14"/>
      <c r="G46" s="14"/>
    </row>
    <row r="47" s="25" customFormat="1" ht="12.75"/>
  </sheetData>
  <sheetProtection/>
  <mergeCells count="16">
    <mergeCell ref="B41:C41"/>
    <mergeCell ref="F41:G41"/>
    <mergeCell ref="B40:C40"/>
    <mergeCell ref="F40:G40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45" sqref="A45"/>
    </sheetView>
  </sheetViews>
  <sheetFormatPr defaultColWidth="9.140625" defaultRowHeight="15" outlineLevelCol="1"/>
  <cols>
    <col min="1" max="1" width="5.8515625" style="23" customWidth="1"/>
    <col min="2" max="2" width="47.003906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312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263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264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53547.54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-137050.11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136939.92</v>
      </c>
      <c r="E17" s="146">
        <v>125984.01</v>
      </c>
      <c r="F17" s="146">
        <f>D17</f>
        <v>136939.92</v>
      </c>
      <c r="G17" s="147">
        <f>E17-D17</f>
        <v>-10955.910000000018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49378.11225083988</v>
      </c>
      <c r="E18" s="67">
        <f>E17*I18</f>
        <v>45427.60494960807</v>
      </c>
      <c r="F18" s="67">
        <f>D18</f>
        <v>49378.11225083988</v>
      </c>
      <c r="G18" s="68">
        <f aca="true" t="shared" si="0" ref="G18:G26">E18-D18</f>
        <v>-3950.50730123181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24229.011601343784</v>
      </c>
      <c r="E19" s="67">
        <f>E17*I19</f>
        <v>22290.563919372897</v>
      </c>
      <c r="F19" s="67">
        <f>D19</f>
        <v>24229.011601343784</v>
      </c>
      <c r="G19" s="68">
        <f t="shared" si="0"/>
        <v>-1938.447681970887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21775.440806270995</v>
      </c>
      <c r="E20" s="67">
        <f>E17*I20</f>
        <v>20033.2916237402</v>
      </c>
      <c r="F20" s="67">
        <f>D20</f>
        <v>21775.440806270995</v>
      </c>
      <c r="G20" s="68">
        <f t="shared" si="0"/>
        <v>-1742.1491825307967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41557.35534154536</v>
      </c>
      <c r="E21" s="67">
        <f>E17*I21</f>
        <v>38232.54950727883</v>
      </c>
      <c r="F21" s="67">
        <f>D21</f>
        <v>41557.35534154536</v>
      </c>
      <c r="G21" s="68">
        <f t="shared" si="0"/>
        <v>-3324.8058342665245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1227.53</v>
      </c>
      <c r="F23" s="153">
        <f>D23</f>
        <v>0</v>
      </c>
      <c r="G23" s="153">
        <f t="shared" si="0"/>
        <v>1227.53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26682.48</v>
      </c>
      <c r="E25" s="153">
        <v>24700.83</v>
      </c>
      <c r="F25" s="153">
        <f>F40</f>
        <v>4019.3783</v>
      </c>
      <c r="G25" s="153">
        <f>E25-D25</f>
        <v>-1981.6499999999978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673594.93</v>
      </c>
      <c r="E27" s="147">
        <f>SUM(E28:E31)</f>
        <v>622065.05</v>
      </c>
      <c r="F27" s="147">
        <f>SUM(F28:F31)</f>
        <v>673594.93</v>
      </c>
      <c r="G27" s="147">
        <f>SUM(G28:G31)</f>
        <v>-51529.87999999999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2764.56</v>
      </c>
      <c r="E28" s="68">
        <v>2566.58</v>
      </c>
      <c r="F28" s="68">
        <f>D28</f>
        <v>2764.56</v>
      </c>
      <c r="G28" s="68">
        <f>E28-D28</f>
        <v>-197.98000000000002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181778.66</v>
      </c>
      <c r="E29" s="68">
        <v>164719.2</v>
      </c>
      <c r="F29" s="68">
        <f>D29</f>
        <v>181778.66</v>
      </c>
      <c r="G29" s="68">
        <f>E29-D29</f>
        <v>-17059.459999999992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489051.71</v>
      </c>
      <c r="E31" s="68">
        <v>454779.27</v>
      </c>
      <c r="F31" s="68">
        <f>D31</f>
        <v>489051.71</v>
      </c>
      <c r="G31" s="68">
        <f>E31-D31</f>
        <v>-34272.44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116787.45000000007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-116368.65829999998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8" ht="23.25" customHeight="1"/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SUM(F41:G44)</f>
        <v>4019.3783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684</v>
      </c>
      <c r="C41" s="273"/>
      <c r="D41" s="158" t="s">
        <v>233</v>
      </c>
      <c r="E41" s="158">
        <v>0.02</v>
      </c>
      <c r="F41" s="308">
        <v>1329.1</v>
      </c>
      <c r="G41" s="309"/>
      <c r="H41" s="61"/>
      <c r="I41" s="62"/>
      <c r="J41" s="23"/>
      <c r="K41" s="23"/>
      <c r="N41" s="55"/>
    </row>
    <row r="42" spans="1:14" s="12" customFormat="1" ht="15">
      <c r="A42" s="9" t="s">
        <v>18</v>
      </c>
      <c r="B42" s="271" t="s">
        <v>685</v>
      </c>
      <c r="C42" s="273"/>
      <c r="D42" s="158" t="s">
        <v>233</v>
      </c>
      <c r="E42" s="158">
        <v>0.04</v>
      </c>
      <c r="F42" s="308">
        <v>2104.82</v>
      </c>
      <c r="G42" s="309"/>
      <c r="H42" s="90"/>
      <c r="I42" s="90"/>
      <c r="J42" s="23"/>
      <c r="K42" s="23"/>
      <c r="N42" s="55"/>
    </row>
    <row r="43" spans="1:14" s="12" customFormat="1" ht="15">
      <c r="A43" s="9" t="s">
        <v>20</v>
      </c>
      <c r="B43" s="271" t="s">
        <v>686</v>
      </c>
      <c r="C43" s="273"/>
      <c r="D43" s="158" t="s">
        <v>234</v>
      </c>
      <c r="E43" s="158">
        <v>0.01</v>
      </c>
      <c r="F43" s="308">
        <v>338.45</v>
      </c>
      <c r="G43" s="309"/>
      <c r="H43" s="90"/>
      <c r="I43" s="90"/>
      <c r="J43" s="23"/>
      <c r="K43" s="23"/>
      <c r="N43" s="55"/>
    </row>
    <row r="44" spans="1:7" s="25" customFormat="1" ht="15">
      <c r="A44" s="9" t="s">
        <v>22</v>
      </c>
      <c r="B44" s="306" t="s">
        <v>286</v>
      </c>
      <c r="C44" s="307"/>
      <c r="D44" s="199"/>
      <c r="E44" s="199"/>
      <c r="F44" s="296">
        <f>E25*1%</f>
        <v>247.00830000000002</v>
      </c>
      <c r="G44" s="296"/>
    </row>
    <row r="45" s="25" customFormat="1" ht="12.75"/>
    <row r="46" spans="1:6" s="3" customFormat="1" ht="15">
      <c r="A46" s="3" t="s">
        <v>55</v>
      </c>
      <c r="C46" s="101" t="s">
        <v>49</v>
      </c>
      <c r="F46" s="3" t="s">
        <v>102</v>
      </c>
    </row>
    <row r="47" spans="1:7" s="25" customFormat="1" ht="15">
      <c r="A47" s="3"/>
      <c r="B47" s="3"/>
      <c r="C47" s="101"/>
      <c r="D47" s="3"/>
      <c r="E47" s="3"/>
      <c r="F47" s="4" t="s">
        <v>303</v>
      </c>
      <c r="G47" s="3"/>
    </row>
    <row r="48" spans="1:10" s="25" customFormat="1" ht="1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7" s="25" customFormat="1" ht="15">
      <c r="A49" s="3"/>
      <c r="B49" s="3"/>
      <c r="C49" s="106" t="s">
        <v>51</v>
      </c>
      <c r="D49" s="3"/>
      <c r="E49" s="14"/>
      <c r="F49" s="14"/>
      <c r="G49" s="14"/>
    </row>
    <row r="50" s="25" customFormat="1" ht="12.75"/>
  </sheetData>
  <sheetProtection/>
  <mergeCells count="22">
    <mergeCell ref="A11:K11"/>
    <mergeCell ref="A12:C12"/>
    <mergeCell ref="B41:C41"/>
    <mergeCell ref="F41:G41"/>
    <mergeCell ref="A33:C33"/>
    <mergeCell ref="A37:K37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A10:K10"/>
    <mergeCell ref="B44:C44"/>
    <mergeCell ref="F44:G44"/>
    <mergeCell ref="B42:C42"/>
    <mergeCell ref="F42:G42"/>
    <mergeCell ref="B43:C43"/>
    <mergeCell ref="F43:G4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24" sqref="F24"/>
    </sheetView>
  </sheetViews>
  <sheetFormatPr defaultColWidth="9.140625" defaultRowHeight="15" outlineLevelCol="1"/>
  <cols>
    <col min="1" max="1" width="5.8515625" style="23" customWidth="1"/>
    <col min="2" max="2" width="47.003906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312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368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369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370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371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160455.45</v>
      </c>
      <c r="E17" s="146">
        <v>150191.41</v>
      </c>
      <c r="F17" s="146">
        <f>D17</f>
        <v>160455.45</v>
      </c>
      <c r="G17" s="147">
        <f>E17-D17</f>
        <v>-10264.040000000008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57857.396304591275</v>
      </c>
      <c r="E18" s="67">
        <f>E17*I18</f>
        <v>54156.365083986566</v>
      </c>
      <c r="F18" s="67">
        <f>D18</f>
        <v>57857.396304591275</v>
      </c>
      <c r="G18" s="68">
        <f aca="true" t="shared" si="0" ref="G18:G26">E18-D18</f>
        <v>-3701.0312206047092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28389.654087346025</v>
      </c>
      <c r="E19" s="67">
        <f>E17*I19</f>
        <v>26573.620134378496</v>
      </c>
      <c r="F19" s="67">
        <f>D19</f>
        <v>28389.654087346025</v>
      </c>
      <c r="G19" s="68">
        <f t="shared" si="0"/>
        <v>-1816.0339529675293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25514.752407614782</v>
      </c>
      <c r="E20" s="67">
        <f>E17*I20</f>
        <v>23882.620627099663</v>
      </c>
      <c r="F20" s="67">
        <f>D20</f>
        <v>25514.752407614782</v>
      </c>
      <c r="G20" s="68">
        <f t="shared" si="0"/>
        <v>-1632.1317805151193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48693.64720044793</v>
      </c>
      <c r="E21" s="67">
        <f>E17*I21</f>
        <v>45578.804154535275</v>
      </c>
      <c r="F21" s="67">
        <f>D21</f>
        <v>48693.64720044793</v>
      </c>
      <c r="G21" s="68">
        <f t="shared" si="0"/>
        <v>-3114.843045912654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0</v>
      </c>
      <c r="F23" s="153">
        <f>D23</f>
        <v>0</v>
      </c>
      <c r="G23" s="153">
        <f t="shared" si="0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31287.93</v>
      </c>
      <c r="E25" s="153">
        <v>29290.93</v>
      </c>
      <c r="F25" s="153">
        <f>F40</f>
        <v>85516.6893</v>
      </c>
      <c r="G25" s="153">
        <f>E25-D25</f>
        <v>-1997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38.17</v>
      </c>
      <c r="D26" s="147">
        <v>343.47</v>
      </c>
      <c r="E26" s="147">
        <v>321.5</v>
      </c>
      <c r="F26" s="153">
        <f>D26</f>
        <v>343.47</v>
      </c>
      <c r="G26" s="147">
        <f t="shared" si="0"/>
        <v>-21.970000000000027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237286.22</v>
      </c>
      <c r="E27" s="147">
        <f>SUM(E28:E31)</f>
        <v>219416.54</v>
      </c>
      <c r="F27" s="147">
        <f>SUM(F28:F31)</f>
        <v>237286.22</v>
      </c>
      <c r="G27" s="147">
        <f>SUM(G28:G31)</f>
        <v>-17869.679999999993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>
        <v>0</v>
      </c>
      <c r="D28" s="68">
        <v>0</v>
      </c>
      <c r="E28" s="68">
        <v>0</v>
      </c>
      <c r="F28" s="68">
        <f>D28</f>
        <v>0</v>
      </c>
      <c r="G28" s="68">
        <f>E28-D28</f>
        <v>0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237286.22</v>
      </c>
      <c r="E29" s="68">
        <v>219416.54</v>
      </c>
      <c r="F29" s="68">
        <f>D29</f>
        <v>237286.22</v>
      </c>
      <c r="G29" s="68">
        <f>E29-D29</f>
        <v>-17869.679999999993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30152.69000000003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-56225.7593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8" ht="23.25" customHeight="1"/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SUM(F41:G43)</f>
        <v>85516.6893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687</v>
      </c>
      <c r="C41" s="273"/>
      <c r="D41" s="158" t="s">
        <v>233</v>
      </c>
      <c r="E41" s="158">
        <v>0.23</v>
      </c>
      <c r="F41" s="308">
        <v>11198.26</v>
      </c>
      <c r="G41" s="309"/>
      <c r="H41" s="61"/>
      <c r="I41" s="62"/>
      <c r="J41" s="23"/>
      <c r="K41" s="23"/>
      <c r="N41" s="55"/>
    </row>
    <row r="42" spans="1:14" s="12" customFormat="1" ht="15">
      <c r="A42" s="9" t="s">
        <v>18</v>
      </c>
      <c r="B42" s="271" t="s">
        <v>688</v>
      </c>
      <c r="C42" s="273"/>
      <c r="D42" s="158" t="s">
        <v>239</v>
      </c>
      <c r="E42" s="158">
        <v>0.75</v>
      </c>
      <c r="F42" s="308">
        <v>74025.52</v>
      </c>
      <c r="G42" s="309"/>
      <c r="H42" s="90"/>
      <c r="I42" s="90"/>
      <c r="J42" s="23"/>
      <c r="K42" s="23"/>
      <c r="N42" s="55"/>
    </row>
    <row r="43" spans="1:7" s="25" customFormat="1" ht="15">
      <c r="A43" s="9" t="s">
        <v>20</v>
      </c>
      <c r="B43" s="306" t="s">
        <v>286</v>
      </c>
      <c r="C43" s="307"/>
      <c r="D43" s="199"/>
      <c r="E43" s="199"/>
      <c r="F43" s="296">
        <f>E25*1%</f>
        <v>292.90930000000003</v>
      </c>
      <c r="G43" s="296"/>
    </row>
    <row r="44" s="25" customFormat="1" ht="12.75"/>
    <row r="45" spans="1:6" s="3" customFormat="1" ht="15">
      <c r="A45" s="3" t="s">
        <v>55</v>
      </c>
      <c r="C45" s="101" t="s">
        <v>49</v>
      </c>
      <c r="F45" s="3" t="s">
        <v>102</v>
      </c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10" s="25" customFormat="1" ht="15">
      <c r="A47" s="3" t="s">
        <v>50</v>
      </c>
      <c r="B47" s="3"/>
      <c r="C47" s="101"/>
      <c r="D47" s="3"/>
      <c r="E47" s="3"/>
      <c r="F47" s="3"/>
      <c r="G47" s="3"/>
      <c r="H47" s="34"/>
      <c r="I47" s="34"/>
      <c r="J47" s="34"/>
    </row>
    <row r="48" spans="1:7" s="25" customFormat="1" ht="15">
      <c r="A48" s="3"/>
      <c r="B48" s="3"/>
      <c r="C48" s="106" t="s">
        <v>51</v>
      </c>
      <c r="D48" s="3"/>
      <c r="E48" s="14"/>
      <c r="F48" s="14"/>
      <c r="G48" s="14"/>
    </row>
    <row r="49" s="25" customFormat="1" ht="12.75"/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3:C43"/>
    <mergeCell ref="F43:G43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41" sqref="F41:G41"/>
    </sheetView>
  </sheetViews>
  <sheetFormatPr defaultColWidth="9.140625" defaultRowHeight="15" outlineLevelCol="1"/>
  <cols>
    <col min="1" max="1" width="5.8515625" style="23" customWidth="1"/>
    <col min="2" max="2" width="48.28125" style="23" customWidth="1"/>
    <col min="3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265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266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114079.35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28315.6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203604.36</v>
      </c>
      <c r="E17" s="146">
        <v>189731.02</v>
      </c>
      <c r="F17" s="146">
        <f>D17</f>
        <v>203604.36</v>
      </c>
      <c r="G17" s="147">
        <f>E17-D17</f>
        <v>-13873.339999999997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73416.12980963047</v>
      </c>
      <c r="E18" s="67">
        <f>E17*I18</f>
        <v>68413.64886898096</v>
      </c>
      <c r="F18" s="67">
        <f>D18</f>
        <v>73416.12980963047</v>
      </c>
      <c r="G18" s="68">
        <f aca="true" t="shared" si="0" ref="G18:G26">E18-D18</f>
        <v>-5002.480940649504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36024.06369540873</v>
      </c>
      <c r="E19" s="67">
        <f>E17*I19</f>
        <v>33569.43019036954</v>
      </c>
      <c r="F19" s="67">
        <f>D19</f>
        <v>36024.06369540873</v>
      </c>
      <c r="G19" s="68">
        <f t="shared" si="0"/>
        <v>-2454.6335050391936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32376.057245240758</v>
      </c>
      <c r="E20" s="67">
        <f>E17*I20</f>
        <v>30169.99422172452</v>
      </c>
      <c r="F20" s="67">
        <f>D20</f>
        <v>32376.057245240758</v>
      </c>
      <c r="G20" s="68">
        <f t="shared" si="0"/>
        <v>-2206.063023516239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61788.109249720044</v>
      </c>
      <c r="E21" s="67">
        <f>E17*I21</f>
        <v>57577.94671892497</v>
      </c>
      <c r="F21" s="67">
        <f>D21</f>
        <v>61788.109249720044</v>
      </c>
      <c r="G21" s="68">
        <f t="shared" si="0"/>
        <v>-4210.162530795074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3464.03</v>
      </c>
      <c r="F23" s="153">
        <f>D23</f>
        <v>0</v>
      </c>
      <c r="G23" s="153">
        <f t="shared" si="0"/>
        <v>3464.03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39671.88</v>
      </c>
      <c r="E25" s="153">
        <v>36958.31</v>
      </c>
      <c r="F25" s="153">
        <f>F40</f>
        <v>1129.3231</v>
      </c>
      <c r="G25" s="153">
        <f>E25-D25</f>
        <v>-2713.5699999999997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930550.7000000001</v>
      </c>
      <c r="E27" s="147">
        <f>SUM(E28:E31)</f>
        <v>841666.5</v>
      </c>
      <c r="F27" s="147">
        <f>SUM(F28:F31)</f>
        <v>930550.7000000001</v>
      </c>
      <c r="G27" s="147">
        <f>SUM(G28:G31)</f>
        <v>-88884.20000000001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4805.88</v>
      </c>
      <c r="E28" s="68">
        <v>4469.6</v>
      </c>
      <c r="F28" s="68">
        <f>D28</f>
        <v>4805.88</v>
      </c>
      <c r="G28" s="68">
        <f>E28-D28</f>
        <v>-336.27999999999975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229965.51</v>
      </c>
      <c r="E29" s="68">
        <v>185880.23</v>
      </c>
      <c r="F29" s="68">
        <f>D29</f>
        <v>229965.51</v>
      </c>
      <c r="G29" s="68">
        <f>E29-D29</f>
        <v>-44085.28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695779.31</v>
      </c>
      <c r="E31" s="68">
        <v>651316.67</v>
      </c>
      <c r="F31" s="68">
        <f>D31</f>
        <v>695779.31</v>
      </c>
      <c r="G31" s="68">
        <f>E31-D31</f>
        <v>-44462.640000000014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216086.42999999993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64144.586899999995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SUM(F41:G43)</f>
        <v>1129.3231</v>
      </c>
      <c r="G40" s="291"/>
      <c r="H40" s="59"/>
      <c r="I40" s="60"/>
      <c r="J40" s="12"/>
      <c r="K40" s="12"/>
      <c r="N40" s="54"/>
    </row>
    <row r="41" spans="1:7" s="25" customFormat="1" ht="15">
      <c r="A41" s="9" t="s">
        <v>16</v>
      </c>
      <c r="B41" s="271" t="s">
        <v>689</v>
      </c>
      <c r="C41" s="273"/>
      <c r="D41" s="158" t="s">
        <v>234</v>
      </c>
      <c r="E41" s="158">
        <v>0.01</v>
      </c>
      <c r="F41" s="308">
        <v>450.66</v>
      </c>
      <c r="G41" s="309"/>
    </row>
    <row r="42" spans="1:7" s="25" customFormat="1" ht="15">
      <c r="A42" s="9" t="s">
        <v>18</v>
      </c>
      <c r="B42" s="271" t="s">
        <v>690</v>
      </c>
      <c r="C42" s="273"/>
      <c r="D42" s="158" t="s">
        <v>234</v>
      </c>
      <c r="E42" s="158">
        <v>0.01</v>
      </c>
      <c r="F42" s="308">
        <v>309.08</v>
      </c>
      <c r="G42" s="309"/>
    </row>
    <row r="43" spans="1:7" s="3" customFormat="1" ht="15">
      <c r="A43" s="9" t="s">
        <v>20</v>
      </c>
      <c r="B43" s="306" t="s">
        <v>286</v>
      </c>
      <c r="C43" s="307"/>
      <c r="D43" s="199"/>
      <c r="E43" s="199"/>
      <c r="F43" s="296">
        <f>E25*1%</f>
        <v>369.5831</v>
      </c>
      <c r="G43" s="296"/>
    </row>
    <row r="44" s="25" customFormat="1" ht="12.75"/>
    <row r="45" spans="1:10" s="25" customFormat="1" ht="1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  <c r="H45" s="34"/>
      <c r="I45" s="34"/>
      <c r="J45" s="34"/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7" s="25" customFormat="1" ht="15">
      <c r="A47" s="3" t="s">
        <v>50</v>
      </c>
      <c r="B47" s="3"/>
      <c r="C47" s="101"/>
      <c r="D47" s="3"/>
      <c r="E47" s="3"/>
      <c r="F47" s="3"/>
      <c r="G47" s="3"/>
    </row>
    <row r="48" spans="1:7" ht="15">
      <c r="A48" s="3"/>
      <c r="B48" s="3"/>
      <c r="C48" s="106" t="s">
        <v>51</v>
      </c>
      <c r="D48" s="3"/>
      <c r="E48" s="14"/>
      <c r="F48" s="14"/>
      <c r="G48" s="14"/>
    </row>
  </sheetData>
  <sheetProtection/>
  <mergeCells count="20">
    <mergeCell ref="B42:C42"/>
    <mergeCell ref="F42:G42"/>
    <mergeCell ref="B43:C43"/>
    <mergeCell ref="F43:G43"/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48" sqref="B48"/>
    </sheetView>
  </sheetViews>
  <sheetFormatPr defaultColWidth="9.140625" defaultRowHeight="15" outlineLevelCol="1"/>
  <cols>
    <col min="1" max="1" width="5.57421875" style="23" customWidth="1"/>
    <col min="2" max="2" width="47.7109375" style="23" customWidth="1"/>
    <col min="3" max="3" width="15.8515625" style="23" customWidth="1"/>
    <col min="4" max="4" width="14.8515625" style="23" customWidth="1"/>
    <col min="5" max="5" width="12.8515625" style="23" customWidth="1"/>
    <col min="6" max="6" width="13.00390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211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212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303972.94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55552.62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28.5">
      <c r="A17" s="163" t="s">
        <v>14</v>
      </c>
      <c r="B17" s="129" t="s">
        <v>15</v>
      </c>
      <c r="C17" s="145">
        <f>C18+C19+C20+C21</f>
        <v>8.93</v>
      </c>
      <c r="D17" s="146">
        <v>350285.16</v>
      </c>
      <c r="E17" s="146">
        <v>324028.74</v>
      </c>
      <c r="F17" s="146">
        <f>D17</f>
        <v>350285.16</v>
      </c>
      <c r="G17" s="147">
        <f>E17-D17</f>
        <v>-26256.419999999984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126306.63104143337</v>
      </c>
      <c r="E18" s="67">
        <f>E17*I18</f>
        <v>116839.03054871221</v>
      </c>
      <c r="F18" s="67">
        <f>D18</f>
        <v>126306.63104143337</v>
      </c>
      <c r="G18" s="68">
        <f aca="true" t="shared" si="0" ref="G18:G26">E18-D18</f>
        <v>-9467.600492721162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61976.54566629338</v>
      </c>
      <c r="E19" s="67">
        <f>E17*I19</f>
        <v>57330.95287793952</v>
      </c>
      <c r="F19" s="67">
        <f>D19</f>
        <v>61976.54566629338</v>
      </c>
      <c r="G19" s="68">
        <f t="shared" si="0"/>
        <v>-4645.592788353861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55700.439776035826</v>
      </c>
      <c r="E20" s="67">
        <f>E17*I20</f>
        <v>51525.2867637178</v>
      </c>
      <c r="F20" s="67">
        <f>D20</f>
        <v>55700.439776035826</v>
      </c>
      <c r="G20" s="68">
        <f t="shared" si="0"/>
        <v>-4175.153012318027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106301.54351623739</v>
      </c>
      <c r="E21" s="67">
        <f>E17*I21</f>
        <v>98333.46980963046</v>
      </c>
      <c r="F21" s="67">
        <f>D21</f>
        <v>106301.54351623739</v>
      </c>
      <c r="G21" s="68">
        <f t="shared" si="0"/>
        <v>-7968.073706606927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6596.52</v>
      </c>
      <c r="F23" s="153">
        <f>D23</f>
        <v>0</v>
      </c>
      <c r="G23" s="153">
        <f t="shared" si="0"/>
        <v>6596.52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68252.76</v>
      </c>
      <c r="E25" s="153">
        <v>63131.04</v>
      </c>
      <c r="F25" s="153">
        <f>F40</f>
        <v>67864.16040000001</v>
      </c>
      <c r="G25" s="153">
        <f>E25-D25</f>
        <v>-5121.719999999994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1832.48</v>
      </c>
      <c r="D26" s="147">
        <v>3664.94</v>
      </c>
      <c r="E26" s="147">
        <v>3075.08</v>
      </c>
      <c r="F26" s="153">
        <f>D26</f>
        <v>3664.94</v>
      </c>
      <c r="G26" s="147">
        <f t="shared" si="0"/>
        <v>-589.8600000000001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1574558.0499999998</v>
      </c>
      <c r="E27" s="147">
        <f>SUM(E28:E31)</f>
        <v>1463871.3900000001</v>
      </c>
      <c r="F27" s="147">
        <f>SUM(F28:F31)</f>
        <v>1574558.0499999998</v>
      </c>
      <c r="G27" s="147">
        <f>SUM(G28:G31)</f>
        <v>-110686.65999999992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7300.26</v>
      </c>
      <c r="E28" s="68">
        <v>6757.82</v>
      </c>
      <c r="F28" s="68">
        <f>D28</f>
        <v>7300.26</v>
      </c>
      <c r="G28" s="68">
        <f>E28-D28</f>
        <v>-542.4400000000005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488442.13</v>
      </c>
      <c r="E29" s="68">
        <v>433876.32</v>
      </c>
      <c r="F29" s="68">
        <f>D29</f>
        <v>488442.13</v>
      </c>
      <c r="G29" s="68">
        <f>E29-D29</f>
        <v>-54565.81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1078815.66</v>
      </c>
      <c r="E31" s="68">
        <v>1023237.25</v>
      </c>
      <c r="F31" s="68">
        <f>D31</f>
        <v>1078815.66</v>
      </c>
      <c r="G31" s="68">
        <f>E31-D31</f>
        <v>-55578.409999999916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440031.0799999994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50819.499599999996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1" s="15" customFormat="1" ht="24.7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13" s="20" customFormat="1" ht="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"/>
      <c r="M38" s="22"/>
    </row>
    <row r="39" spans="1:11" ht="28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1" ht="15">
      <c r="A40" s="11" t="s">
        <v>47</v>
      </c>
      <c r="B40" s="287" t="s">
        <v>126</v>
      </c>
      <c r="C40" s="288"/>
      <c r="D40" s="157"/>
      <c r="E40" s="157"/>
      <c r="F40" s="295">
        <f>SUM(F41:G47)</f>
        <v>67864.16040000001</v>
      </c>
      <c r="G40" s="291"/>
      <c r="H40" s="59"/>
      <c r="I40" s="60"/>
      <c r="J40" s="12"/>
      <c r="K40" s="12"/>
    </row>
    <row r="41" spans="1:11" ht="15">
      <c r="A41" s="9" t="s">
        <v>16</v>
      </c>
      <c r="B41" s="271" t="s">
        <v>691</v>
      </c>
      <c r="C41" s="273"/>
      <c r="D41" s="158" t="s">
        <v>234</v>
      </c>
      <c r="E41" s="158">
        <v>0.28</v>
      </c>
      <c r="F41" s="308">
        <v>34276.91</v>
      </c>
      <c r="G41" s="309"/>
      <c r="H41" s="203"/>
      <c r="I41" s="204"/>
      <c r="J41" s="12"/>
      <c r="K41" s="12"/>
    </row>
    <row r="42" spans="1:11" ht="15">
      <c r="A42" s="9" t="s">
        <v>18</v>
      </c>
      <c r="B42" s="271" t="s">
        <v>692</v>
      </c>
      <c r="C42" s="273"/>
      <c r="D42" s="158" t="s">
        <v>233</v>
      </c>
      <c r="E42" s="158">
        <v>0.01</v>
      </c>
      <c r="F42" s="308">
        <v>903.41</v>
      </c>
      <c r="G42" s="309"/>
      <c r="H42" s="203"/>
      <c r="I42" s="204"/>
      <c r="J42" s="12"/>
      <c r="K42" s="12"/>
    </row>
    <row r="43" spans="1:11" ht="15">
      <c r="A43" s="9" t="s">
        <v>20</v>
      </c>
      <c r="B43" s="271" t="s">
        <v>693</v>
      </c>
      <c r="C43" s="273"/>
      <c r="D43" s="158" t="s">
        <v>234</v>
      </c>
      <c r="E43" s="158">
        <v>2</v>
      </c>
      <c r="F43" s="308">
        <v>17203.42</v>
      </c>
      <c r="G43" s="309"/>
      <c r="H43" s="203"/>
      <c r="I43" s="236"/>
      <c r="J43" s="12"/>
      <c r="K43" s="12"/>
    </row>
    <row r="44" spans="1:11" ht="15">
      <c r="A44" s="9" t="s">
        <v>22</v>
      </c>
      <c r="B44" s="271" t="s">
        <v>694</v>
      </c>
      <c r="C44" s="273"/>
      <c r="D44" s="158" t="s">
        <v>233</v>
      </c>
      <c r="E44" s="158">
        <v>0.01</v>
      </c>
      <c r="F44" s="308">
        <v>893.21</v>
      </c>
      <c r="G44" s="309"/>
      <c r="H44" s="203"/>
      <c r="I44" s="236"/>
      <c r="J44" s="12"/>
      <c r="K44" s="12"/>
    </row>
    <row r="45" spans="1:11" ht="15">
      <c r="A45" s="9" t="s">
        <v>24</v>
      </c>
      <c r="B45" s="271" t="s">
        <v>695</v>
      </c>
      <c r="C45" s="273"/>
      <c r="D45" s="158" t="s">
        <v>233</v>
      </c>
      <c r="E45" s="158">
        <v>0.08</v>
      </c>
      <c r="F45" s="308">
        <v>3955.9</v>
      </c>
      <c r="G45" s="309"/>
      <c r="H45" s="203"/>
      <c r="I45" s="236"/>
      <c r="J45" s="12"/>
      <c r="K45" s="12"/>
    </row>
    <row r="46" spans="1:11" ht="15">
      <c r="A46" s="9" t="s">
        <v>116</v>
      </c>
      <c r="B46" s="271" t="s">
        <v>718</v>
      </c>
      <c r="C46" s="273"/>
      <c r="D46" s="158"/>
      <c r="E46" s="158"/>
      <c r="F46" s="308">
        <v>10000</v>
      </c>
      <c r="G46" s="309"/>
      <c r="H46" s="203"/>
      <c r="I46" s="236"/>
      <c r="J46" s="12"/>
      <c r="K46" s="12"/>
    </row>
    <row r="47" spans="1:14" s="12" customFormat="1" ht="15" customHeight="1">
      <c r="A47" s="242" t="s">
        <v>117</v>
      </c>
      <c r="B47" s="306" t="s">
        <v>286</v>
      </c>
      <c r="C47" s="307"/>
      <c r="D47" s="199"/>
      <c r="E47" s="199"/>
      <c r="F47" s="296">
        <f>E25*1%</f>
        <v>631.3104000000001</v>
      </c>
      <c r="G47" s="296"/>
      <c r="H47" s="25"/>
      <c r="I47" s="25"/>
      <c r="J47" s="25"/>
      <c r="K47" s="25"/>
      <c r="N47" s="55"/>
    </row>
    <row r="48" spans="1:14" ht="15.75" customHeight="1">
      <c r="A48" s="25"/>
      <c r="B48" s="25"/>
      <c r="C48" s="25"/>
      <c r="D48" s="25"/>
      <c r="E48" s="25"/>
      <c r="F48" s="25"/>
      <c r="G48" s="25"/>
      <c r="H48" s="3"/>
      <c r="I48" s="3"/>
      <c r="J48" s="3"/>
      <c r="K48" s="3"/>
      <c r="N48" s="56"/>
    </row>
    <row r="49" spans="1:11" ht="15">
      <c r="A49" s="3" t="s">
        <v>55</v>
      </c>
      <c r="B49" s="3"/>
      <c r="C49" s="101" t="s">
        <v>49</v>
      </c>
      <c r="D49" s="3"/>
      <c r="E49" s="3"/>
      <c r="F49" s="3" t="s">
        <v>102</v>
      </c>
      <c r="G49" s="3"/>
      <c r="H49" s="25"/>
      <c r="I49" s="25"/>
      <c r="J49" s="25"/>
      <c r="K49" s="25"/>
    </row>
    <row r="50" spans="1:10" s="25" customFormat="1" ht="15">
      <c r="A50" s="3"/>
      <c r="B50" s="3"/>
      <c r="C50" s="101"/>
      <c r="D50" s="3"/>
      <c r="E50" s="3"/>
      <c r="F50" s="4" t="s">
        <v>303</v>
      </c>
      <c r="G50" s="3"/>
      <c r="H50" s="34"/>
      <c r="I50" s="34"/>
      <c r="J50" s="34"/>
    </row>
    <row r="51" spans="1:7" s="25" customFormat="1" ht="15">
      <c r="A51" s="3" t="s">
        <v>50</v>
      </c>
      <c r="B51" s="3"/>
      <c r="C51" s="101"/>
      <c r="D51" s="3"/>
      <c r="E51" s="3"/>
      <c r="F51" s="3"/>
      <c r="G51" s="3"/>
    </row>
    <row r="52" spans="1:7" s="25" customFormat="1" ht="15">
      <c r="A52" s="3"/>
      <c r="B52" s="3"/>
      <c r="C52" s="106" t="s">
        <v>51</v>
      </c>
      <c r="D52" s="3"/>
      <c r="E52" s="14"/>
      <c r="F52" s="14"/>
      <c r="G52" s="14"/>
    </row>
    <row r="53" s="25" customFormat="1" ht="12.75"/>
  </sheetData>
  <sheetProtection/>
  <mergeCells count="28"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  <mergeCell ref="B47:C47"/>
    <mergeCell ref="F47:G47"/>
    <mergeCell ref="B43:C43"/>
    <mergeCell ref="F43:G43"/>
    <mergeCell ref="B44:C44"/>
    <mergeCell ref="F44:G44"/>
    <mergeCell ref="B46:C46"/>
    <mergeCell ref="F46:G46"/>
    <mergeCell ref="B45:C45"/>
    <mergeCell ref="F45:G4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G16" sqref="G16"/>
    </sheetView>
  </sheetViews>
  <sheetFormatPr defaultColWidth="9.140625" defaultRowHeight="15" outlineLevelCol="1"/>
  <cols>
    <col min="1" max="1" width="5.8515625" style="23" customWidth="1"/>
    <col min="2" max="2" width="49.140625" style="23" customWidth="1"/>
    <col min="3" max="4" width="14.8515625" style="23" customWidth="1"/>
    <col min="5" max="5" width="13.421875" style="23" customWidth="1"/>
    <col min="6" max="6" width="13.71093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267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268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90857.92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48617.47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397148.27</v>
      </c>
      <c r="E17" s="146">
        <v>378099.23</v>
      </c>
      <c r="F17" s="146">
        <f>D17</f>
        <v>397148.27</v>
      </c>
      <c r="G17" s="147">
        <f>E17-D17</f>
        <v>-19049.040000000037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143204.63935050395</v>
      </c>
      <c r="E18" s="67">
        <f>E17*I18</f>
        <v>136335.8925643897</v>
      </c>
      <c r="F18" s="67">
        <f>D18</f>
        <v>143204.63935050395</v>
      </c>
      <c r="G18" s="68">
        <f aca="true" t="shared" si="0" ref="G18:G26">E18-D18</f>
        <v>-6868.746786114236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70268.11496080627</v>
      </c>
      <c r="E19" s="67">
        <f>E17*I19</f>
        <v>66897.7361030235</v>
      </c>
      <c r="F19" s="67">
        <f>D19</f>
        <v>70268.11496080627</v>
      </c>
      <c r="G19" s="68">
        <f t="shared" si="0"/>
        <v>-3370.3788577827654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63152.356483762596</v>
      </c>
      <c r="E20" s="67">
        <f>E17*I20</f>
        <v>60123.28181410973</v>
      </c>
      <c r="F20" s="67">
        <f>D20</f>
        <v>63152.356483762596</v>
      </c>
      <c r="G20" s="68">
        <f t="shared" si="0"/>
        <v>-3029.074669652866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120523.15920492721</v>
      </c>
      <c r="E21" s="67">
        <f>E17*I21</f>
        <v>114742.31951847704</v>
      </c>
      <c r="F21" s="67">
        <f>D21</f>
        <v>120523.15920492721</v>
      </c>
      <c r="G21" s="68">
        <f t="shared" si="0"/>
        <v>-5780.83968645017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4082.2</v>
      </c>
      <c r="F23" s="153">
        <f>D23</f>
        <v>0</v>
      </c>
      <c r="G23" s="153">
        <f t="shared" si="0"/>
        <v>4082.2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77383.3</v>
      </c>
      <c r="E25" s="153">
        <v>73657.9</v>
      </c>
      <c r="F25" s="153">
        <f>F40</f>
        <v>19715.239</v>
      </c>
      <c r="G25" s="153">
        <f>E25-D25</f>
        <v>-3725.4000000000087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1952645.04</v>
      </c>
      <c r="E27" s="147">
        <f>SUM(E28:E31)</f>
        <v>1853436.38</v>
      </c>
      <c r="F27" s="147">
        <f>SUM(F28:F31)</f>
        <v>1952645.04</v>
      </c>
      <c r="G27" s="147">
        <f>SUM(G28:G31)</f>
        <v>-99208.6600000002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8345.13</v>
      </c>
      <c r="E28" s="68">
        <v>7942.82</v>
      </c>
      <c r="F28" s="68">
        <f>D28</f>
        <v>8345.13</v>
      </c>
      <c r="G28" s="68">
        <f>E28-D28</f>
        <v>-402.3099999999995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606049.81</v>
      </c>
      <c r="E29" s="68">
        <v>557997.63</v>
      </c>
      <c r="F29" s="68">
        <f>D29</f>
        <v>606049.81</v>
      </c>
      <c r="G29" s="68">
        <f>E29-D29</f>
        <v>-48052.18000000005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1338250.1</v>
      </c>
      <c r="E31" s="68">
        <v>1287495.93</v>
      </c>
      <c r="F31" s="68">
        <f>D31</f>
        <v>1338250.1</v>
      </c>
      <c r="G31" s="68">
        <f>E31-D31</f>
        <v>-50754.17000000016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208758.8200000003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102560.131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5.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SUM(F41:G48)</f>
        <v>19715.239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696</v>
      </c>
      <c r="C41" s="273"/>
      <c r="D41" s="158" t="s">
        <v>234</v>
      </c>
      <c r="E41" s="158">
        <v>0.01</v>
      </c>
      <c r="F41" s="308">
        <v>753.18</v>
      </c>
      <c r="G41" s="309"/>
      <c r="H41" s="61"/>
      <c r="I41" s="62"/>
      <c r="J41" s="23"/>
      <c r="K41" s="23"/>
      <c r="N41" s="55"/>
    </row>
    <row r="42" spans="1:7" s="25" customFormat="1" ht="15">
      <c r="A42" s="9" t="s">
        <v>18</v>
      </c>
      <c r="B42" s="271" t="s">
        <v>697</v>
      </c>
      <c r="C42" s="273"/>
      <c r="D42" s="158" t="s">
        <v>234</v>
      </c>
      <c r="E42" s="158">
        <v>0.1</v>
      </c>
      <c r="F42" s="308">
        <v>3468</v>
      </c>
      <c r="G42" s="309"/>
    </row>
    <row r="43" spans="1:7" s="25" customFormat="1" ht="15">
      <c r="A43" s="9" t="s">
        <v>20</v>
      </c>
      <c r="B43" s="271" t="s">
        <v>698</v>
      </c>
      <c r="C43" s="273"/>
      <c r="D43" s="158" t="s">
        <v>234</v>
      </c>
      <c r="E43" s="158">
        <v>0.01</v>
      </c>
      <c r="F43" s="308">
        <v>309.08</v>
      </c>
      <c r="G43" s="309"/>
    </row>
    <row r="44" spans="1:7" s="3" customFormat="1" ht="15">
      <c r="A44" s="9" t="s">
        <v>22</v>
      </c>
      <c r="B44" s="271" t="s">
        <v>250</v>
      </c>
      <c r="C44" s="273"/>
      <c r="D44" s="158" t="s">
        <v>239</v>
      </c>
      <c r="E44" s="158">
        <v>500</v>
      </c>
      <c r="F44" s="308">
        <v>2907</v>
      </c>
      <c r="G44" s="309"/>
    </row>
    <row r="45" spans="1:7" s="25" customFormat="1" ht="15">
      <c r="A45" s="9" t="s">
        <v>24</v>
      </c>
      <c r="B45" s="271" t="s">
        <v>699</v>
      </c>
      <c r="C45" s="273"/>
      <c r="D45" s="158" t="s">
        <v>234</v>
      </c>
      <c r="E45" s="158">
        <v>0.01</v>
      </c>
      <c r="F45" s="308">
        <v>5005.81</v>
      </c>
      <c r="G45" s="309"/>
    </row>
    <row r="46" spans="1:7" s="25" customFormat="1" ht="15">
      <c r="A46" s="9" t="s">
        <v>116</v>
      </c>
      <c r="B46" s="271" t="s">
        <v>700</v>
      </c>
      <c r="C46" s="273"/>
      <c r="D46" s="158" t="s">
        <v>234</v>
      </c>
      <c r="E46" s="158">
        <v>0.01</v>
      </c>
      <c r="F46" s="308">
        <v>5005.81</v>
      </c>
      <c r="G46" s="309"/>
    </row>
    <row r="47" spans="1:7" s="25" customFormat="1" ht="15">
      <c r="A47" s="9" t="s">
        <v>117</v>
      </c>
      <c r="B47" s="271" t="s">
        <v>701</v>
      </c>
      <c r="C47" s="273"/>
      <c r="D47" s="158" t="s">
        <v>234</v>
      </c>
      <c r="E47" s="158">
        <v>0.03</v>
      </c>
      <c r="F47" s="308">
        <v>1529.78</v>
      </c>
      <c r="G47" s="309"/>
    </row>
    <row r="48" spans="1:10" s="25" customFormat="1" ht="15">
      <c r="A48" s="9" t="s">
        <v>132</v>
      </c>
      <c r="B48" s="306" t="s">
        <v>286</v>
      </c>
      <c r="C48" s="307"/>
      <c r="D48" s="199"/>
      <c r="E48" s="199"/>
      <c r="F48" s="296">
        <f>E25*1%</f>
        <v>736.579</v>
      </c>
      <c r="G48" s="296"/>
      <c r="H48" s="34"/>
      <c r="I48" s="34"/>
      <c r="J48" s="34"/>
    </row>
    <row r="49" s="25" customFormat="1" ht="12.75"/>
    <row r="50" spans="1:7" s="25" customFormat="1" ht="15">
      <c r="A50" s="3" t="s">
        <v>55</v>
      </c>
      <c r="B50" s="3"/>
      <c r="C50" s="101" t="s">
        <v>49</v>
      </c>
      <c r="D50" s="3"/>
      <c r="E50" s="3"/>
      <c r="F50" s="3" t="s">
        <v>102</v>
      </c>
      <c r="G50" s="3"/>
    </row>
    <row r="51" spans="1:7" ht="15">
      <c r="A51" s="3"/>
      <c r="B51" s="3"/>
      <c r="C51" s="101"/>
      <c r="D51" s="3"/>
      <c r="E51" s="3"/>
      <c r="F51" s="4" t="s">
        <v>303</v>
      </c>
      <c r="G51" s="3"/>
    </row>
    <row r="52" spans="1:7" ht="15">
      <c r="A52" s="3" t="s">
        <v>50</v>
      </c>
      <c r="B52" s="3"/>
      <c r="C52" s="101"/>
      <c r="D52" s="3"/>
      <c r="E52" s="3"/>
      <c r="F52" s="3"/>
      <c r="G52" s="3"/>
    </row>
    <row r="53" spans="1:7" ht="15">
      <c r="A53" s="3"/>
      <c r="B53" s="3"/>
      <c r="C53" s="106" t="s">
        <v>51</v>
      </c>
      <c r="D53" s="3"/>
      <c r="E53" s="14"/>
      <c r="F53" s="14"/>
      <c r="G53" s="14"/>
    </row>
  </sheetData>
  <sheetProtection/>
  <mergeCells count="30">
    <mergeCell ref="B48:C48"/>
    <mergeCell ref="F48:G48"/>
    <mergeCell ref="B46:C46"/>
    <mergeCell ref="F46:G46"/>
    <mergeCell ref="B47:C47"/>
    <mergeCell ref="F47:G47"/>
    <mergeCell ref="B43:C43"/>
    <mergeCell ref="F43:G43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5.421875" style="23" customWidth="1"/>
    <col min="2" max="2" width="48.57421875" style="23" customWidth="1"/>
    <col min="3" max="3" width="15.421875" style="23" customWidth="1"/>
    <col min="4" max="4" width="14.8515625" style="23" customWidth="1"/>
    <col min="5" max="5" width="13.57421875" style="23" customWidth="1"/>
    <col min="6" max="6" width="13.00390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353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352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357" t="s">
        <v>227</v>
      </c>
      <c r="B12" s="358"/>
      <c r="C12" s="358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218"/>
      <c r="B13" s="218"/>
      <c r="C13" s="218"/>
      <c r="D13" s="42"/>
      <c r="E13" s="39"/>
      <c r="F13" s="39"/>
      <c r="G13" s="39"/>
      <c r="H13" s="40"/>
      <c r="I13" s="40"/>
    </row>
    <row r="14" spans="1:9" s="15" customFormat="1" ht="15.75" thickBot="1">
      <c r="A14" s="219" t="s">
        <v>229</v>
      </c>
      <c r="B14" s="220"/>
      <c r="C14" s="220"/>
      <c r="D14" s="221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145795</v>
      </c>
      <c r="E17" s="146">
        <v>126565</v>
      </c>
      <c r="F17" s="146">
        <f>D17</f>
        <v>145795</v>
      </c>
      <c r="G17" s="147">
        <f>E17-D17</f>
        <v>-19230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52571.097424412095</v>
      </c>
      <c r="E18" s="67">
        <f>E17*I18</f>
        <v>45637.099664053756</v>
      </c>
      <c r="F18" s="67">
        <f>D18</f>
        <v>52571.097424412095</v>
      </c>
      <c r="G18" s="68">
        <f aca="true" t="shared" si="0" ref="G18:G26">E18-D18</f>
        <v>-6933.997760358339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25795.755879059347</v>
      </c>
      <c r="E19" s="67">
        <f>E17*I19</f>
        <v>22393.359462486</v>
      </c>
      <c r="F19" s="67">
        <f>D19</f>
        <v>25795.755879059347</v>
      </c>
      <c r="G19" s="68">
        <f t="shared" si="0"/>
        <v>-3402.396416573345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23183.5274356103</v>
      </c>
      <c r="E20" s="67">
        <f>E17*I20</f>
        <v>20125.677491601342</v>
      </c>
      <c r="F20" s="67">
        <f>D20</f>
        <v>23183.5274356103</v>
      </c>
      <c r="G20" s="68">
        <f t="shared" si="0"/>
        <v>-3057.849944008958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44244.619260918254</v>
      </c>
      <c r="E21" s="67">
        <f>E17*I21</f>
        <v>38408.8633818589</v>
      </c>
      <c r="F21" s="67">
        <f>D21</f>
        <v>44244.619260918254</v>
      </c>
      <c r="G21" s="68">
        <f t="shared" si="0"/>
        <v>-5835.755879059354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0</v>
      </c>
      <c r="F23" s="153">
        <f>D23</f>
        <v>0</v>
      </c>
      <c r="G23" s="153">
        <f t="shared" si="0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3</v>
      </c>
      <c r="D25" s="153">
        <v>48979.2</v>
      </c>
      <c r="E25" s="153">
        <v>42519.02</v>
      </c>
      <c r="F25" s="153">
        <f>F40</f>
        <v>7601.2002</v>
      </c>
      <c r="G25" s="153">
        <f>E25-D25</f>
        <v>-6460.18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805301.3300000001</v>
      </c>
      <c r="E27" s="147">
        <f>SUM(E28:E31)</f>
        <v>696919.1</v>
      </c>
      <c r="F27" s="147">
        <f>SUM(F28:F31)</f>
        <v>805301.3300000001</v>
      </c>
      <c r="G27" s="147">
        <f>SUM(G28:G31)</f>
        <v>-108382.23000000007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25197.14</v>
      </c>
      <c r="E28" s="68">
        <v>21849.08</v>
      </c>
      <c r="F28" s="68">
        <f>D28</f>
        <v>25197.14</v>
      </c>
      <c r="G28" s="68">
        <f>E28-D28</f>
        <v>-3348.0599999999977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236919.88</v>
      </c>
      <c r="E29" s="68">
        <v>227269.92</v>
      </c>
      <c r="F29" s="68">
        <f>D29</f>
        <v>236919.88</v>
      </c>
      <c r="G29" s="68">
        <f>E29-D29</f>
        <v>-9649.959999999992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543184.31</v>
      </c>
      <c r="E31" s="68">
        <v>447800.1</v>
      </c>
      <c r="F31" s="68">
        <f>D31</f>
        <v>543184.31</v>
      </c>
      <c r="G31" s="68">
        <f>E31-D31</f>
        <v>-95384.21000000008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134072.41000000003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34917.8198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9.2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SUM(F41:G42)</f>
        <v>7601.2002</v>
      </c>
      <c r="G40" s="291"/>
      <c r="H40" s="59"/>
      <c r="I40" s="60"/>
      <c r="J40" s="12"/>
      <c r="K40" s="12"/>
      <c r="N40" s="54"/>
    </row>
    <row r="41" spans="1:14" s="12" customFormat="1" ht="15" customHeight="1">
      <c r="A41" s="9" t="s">
        <v>16</v>
      </c>
      <c r="B41" s="271" t="s">
        <v>702</v>
      </c>
      <c r="C41" s="273"/>
      <c r="D41" s="158" t="s">
        <v>234</v>
      </c>
      <c r="E41" s="158">
        <v>0.01</v>
      </c>
      <c r="F41" s="308">
        <v>7176.01</v>
      </c>
      <c r="G41" s="309"/>
      <c r="H41" s="61"/>
      <c r="I41" s="62"/>
      <c r="J41" s="23"/>
      <c r="K41" s="23"/>
      <c r="N41" s="55"/>
    </row>
    <row r="42" spans="1:14" ht="15.75" customHeight="1">
      <c r="A42" s="9" t="s">
        <v>18</v>
      </c>
      <c r="B42" s="306" t="s">
        <v>286</v>
      </c>
      <c r="C42" s="307"/>
      <c r="D42" s="199"/>
      <c r="E42" s="199"/>
      <c r="F42" s="296">
        <f>E25*1%</f>
        <v>425.1902</v>
      </c>
      <c r="G42" s="296"/>
      <c r="H42" s="25"/>
      <c r="I42" s="25"/>
      <c r="J42" s="25"/>
      <c r="K42" s="25"/>
      <c r="N42" s="56"/>
    </row>
    <row r="43" spans="1:11" ht="7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s="25" customFormat="1" ht="1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  <c r="J44" s="3"/>
      <c r="K44" s="3"/>
    </row>
    <row r="45" spans="1:7" s="25" customFormat="1" ht="15">
      <c r="A45" s="3"/>
      <c r="B45" s="3"/>
      <c r="C45" s="101"/>
      <c r="D45" s="3"/>
      <c r="E45" s="3"/>
      <c r="F45" s="4" t="s">
        <v>303</v>
      </c>
      <c r="G45" s="3"/>
    </row>
    <row r="46" spans="1:11" s="3" customFormat="1" ht="15">
      <c r="A46" s="3" t="s">
        <v>50</v>
      </c>
      <c r="C46" s="101"/>
      <c r="H46" s="34"/>
      <c r="I46" s="34"/>
      <c r="J46" s="34"/>
      <c r="K46" s="25"/>
    </row>
    <row r="47" spans="1:7" s="25" customFormat="1" ht="15">
      <c r="A47" s="3"/>
      <c r="B47" s="3"/>
      <c r="C47" s="106" t="s">
        <v>51</v>
      </c>
      <c r="D47" s="3"/>
      <c r="E47" s="14"/>
      <c r="F47" s="14"/>
      <c r="G47" s="14"/>
    </row>
    <row r="48" s="25" customFormat="1" ht="12.75"/>
    <row r="49" s="25" customFormat="1" ht="12.75"/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23" sqref="F23"/>
    </sheetView>
  </sheetViews>
  <sheetFormatPr defaultColWidth="9.140625" defaultRowHeight="15" outlineLevelCol="1"/>
  <cols>
    <col min="1" max="1" width="5.421875" style="23" customWidth="1"/>
    <col min="2" max="2" width="48.57421875" style="23" customWidth="1"/>
    <col min="3" max="3" width="15.421875" style="23" customWidth="1"/>
    <col min="4" max="4" width="14.8515625" style="23" customWidth="1"/>
    <col min="5" max="5" width="13.57421875" style="23" customWidth="1"/>
    <col min="6" max="6" width="13.00390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354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355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357" t="s">
        <v>227</v>
      </c>
      <c r="B12" s="358"/>
      <c r="C12" s="358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218"/>
      <c r="B13" s="218"/>
      <c r="C13" s="218"/>
      <c r="D13" s="42"/>
      <c r="E13" s="39"/>
      <c r="F13" s="39"/>
      <c r="G13" s="39"/>
      <c r="H13" s="40"/>
      <c r="I13" s="40"/>
    </row>
    <row r="14" spans="1:9" s="15" customFormat="1" ht="15.75" thickBot="1">
      <c r="A14" s="219" t="s">
        <v>229</v>
      </c>
      <c r="B14" s="220"/>
      <c r="C14" s="220"/>
      <c r="D14" s="221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66508.22</v>
      </c>
      <c r="E17" s="146">
        <v>52787.58</v>
      </c>
      <c r="F17" s="146">
        <f>D17</f>
        <v>66508.22</v>
      </c>
      <c r="G17" s="147">
        <f>E17-D17</f>
        <v>-13720.64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23981.68739081747</v>
      </c>
      <c r="E18" s="67">
        <f>E17*I18</f>
        <v>19034.267368421053</v>
      </c>
      <c r="F18" s="67">
        <f>D18</f>
        <v>23981.68739081747</v>
      </c>
      <c r="G18" s="68">
        <f aca="true" t="shared" si="0" ref="G18:G26">E18-D18</f>
        <v>-4947.420022396418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11767.41182530795</v>
      </c>
      <c r="E19" s="67">
        <f>E17*I19</f>
        <v>9339.795789473683</v>
      </c>
      <c r="F19" s="67">
        <f>D19</f>
        <v>11767.41182530795</v>
      </c>
      <c r="G19" s="68">
        <f t="shared" si="0"/>
        <v>-2427.6160358342677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10575.775184770437</v>
      </c>
      <c r="E20" s="67">
        <f>E17*I20</f>
        <v>8393.993684210525</v>
      </c>
      <c r="F20" s="67">
        <f>D20</f>
        <v>10575.775184770437</v>
      </c>
      <c r="G20" s="68">
        <f t="shared" si="0"/>
        <v>-2181.7815005599114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20183.345599104145</v>
      </c>
      <c r="E21" s="67">
        <f>E17*I21</f>
        <v>16019.523157894737</v>
      </c>
      <c r="F21" s="67">
        <f>D21</f>
        <v>20183.345599104145</v>
      </c>
      <c r="G21" s="68">
        <f t="shared" si="0"/>
        <v>-4163.822441209408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329</v>
      </c>
      <c r="C22" s="175">
        <v>22.3</v>
      </c>
      <c r="D22" s="153">
        <v>55331.64</v>
      </c>
      <c r="E22" s="153">
        <v>40891.71</v>
      </c>
      <c r="F22" s="153">
        <f>F40-F25</f>
        <v>74597.5677</v>
      </c>
      <c r="G22" s="153">
        <f t="shared" si="0"/>
        <v>-14439.93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0</v>
      </c>
      <c r="F23" s="153">
        <f>D23</f>
        <v>0</v>
      </c>
      <c r="G23" s="153">
        <f t="shared" si="0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3</v>
      </c>
      <c r="D25" s="153">
        <v>22343.16</v>
      </c>
      <c r="E25" s="153">
        <v>17733.77</v>
      </c>
      <c r="F25" s="153">
        <v>17733.77</v>
      </c>
      <c r="G25" s="153">
        <f>E25-D25</f>
        <v>-4609.389999999999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1832.48</v>
      </c>
      <c r="D26" s="147">
        <v>458.14</v>
      </c>
      <c r="E26" s="147">
        <v>363.65</v>
      </c>
      <c r="F26" s="153">
        <f>D26</f>
        <v>458.14</v>
      </c>
      <c r="G26" s="147">
        <f t="shared" si="0"/>
        <v>-94.49000000000001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77674.37</v>
      </c>
      <c r="E27" s="147">
        <f>SUM(E28:E31)</f>
        <v>72070.04</v>
      </c>
      <c r="F27" s="147">
        <f>SUM(F28:F31)</f>
        <v>77674.37</v>
      </c>
      <c r="G27" s="147">
        <f>SUM(G28:G31)</f>
        <v>-5604.330000000002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0</v>
      </c>
      <c r="E28" s="68">
        <v>0</v>
      </c>
      <c r="F28" s="68">
        <f>D28</f>
        <v>0</v>
      </c>
      <c r="G28" s="68">
        <f>E28-D28</f>
        <v>0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77674.37</v>
      </c>
      <c r="E29" s="68">
        <v>72070.04</v>
      </c>
      <c r="F29" s="68">
        <f>D29</f>
        <v>77674.37</v>
      </c>
      <c r="G29" s="68">
        <f>E29-D29</f>
        <v>-5604.330000000002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24028.85000000002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G14+E22+E25-F22-F25</f>
        <v>-33705.85770000001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9.2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SUM(F41:G43)</f>
        <v>92331.3377</v>
      </c>
      <c r="G40" s="291"/>
      <c r="H40" s="59"/>
      <c r="I40" s="60"/>
      <c r="J40" s="12"/>
      <c r="K40" s="12"/>
      <c r="N40" s="54"/>
    </row>
    <row r="41" spans="1:14" s="12" customFormat="1" ht="15" customHeight="1">
      <c r="A41" s="9" t="s">
        <v>16</v>
      </c>
      <c r="B41" s="271" t="s">
        <v>703</v>
      </c>
      <c r="C41" s="273"/>
      <c r="D41" s="158"/>
      <c r="E41" s="158"/>
      <c r="F41" s="308">
        <v>82154</v>
      </c>
      <c r="G41" s="309"/>
      <c r="H41" s="61"/>
      <c r="I41" s="62"/>
      <c r="J41" s="23"/>
      <c r="K41" s="23"/>
      <c r="N41" s="55"/>
    </row>
    <row r="42" spans="1:14" s="12" customFormat="1" ht="15" customHeight="1">
      <c r="A42" s="9" t="s">
        <v>18</v>
      </c>
      <c r="B42" s="271" t="s">
        <v>718</v>
      </c>
      <c r="C42" s="273"/>
      <c r="D42" s="158"/>
      <c r="E42" s="158"/>
      <c r="F42" s="308">
        <v>10000</v>
      </c>
      <c r="G42" s="309"/>
      <c r="H42" s="90"/>
      <c r="I42" s="90"/>
      <c r="J42" s="23"/>
      <c r="K42" s="23"/>
      <c r="N42" s="55"/>
    </row>
    <row r="43" spans="1:14" ht="15.75" customHeight="1">
      <c r="A43" s="242" t="s">
        <v>20</v>
      </c>
      <c r="B43" s="306" t="s">
        <v>286</v>
      </c>
      <c r="C43" s="307"/>
      <c r="D43" s="199"/>
      <c r="E43" s="199"/>
      <c r="F43" s="296">
        <f>E25*1%</f>
        <v>177.3377</v>
      </c>
      <c r="G43" s="296"/>
      <c r="H43" s="25"/>
      <c r="I43" s="25"/>
      <c r="J43" s="25"/>
      <c r="K43" s="25"/>
      <c r="N43" s="56"/>
    </row>
    <row r="44" spans="1:11" ht="7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25" customFormat="1" ht="1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  <c r="H45" s="3"/>
      <c r="I45" s="3"/>
      <c r="J45" s="3"/>
      <c r="K45" s="3"/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11" s="3" customFormat="1" ht="15">
      <c r="A47" s="3" t="s">
        <v>50</v>
      </c>
      <c r="C47" s="101"/>
      <c r="H47" s="34"/>
      <c r="I47" s="34"/>
      <c r="J47" s="34"/>
      <c r="K47" s="25"/>
    </row>
    <row r="48" spans="1:7" s="25" customFormat="1" ht="15">
      <c r="A48" s="3"/>
      <c r="B48" s="3"/>
      <c r="C48" s="106" t="s">
        <v>51</v>
      </c>
      <c r="D48" s="3"/>
      <c r="E48" s="14"/>
      <c r="F48" s="14"/>
      <c r="G48" s="14"/>
    </row>
    <row r="49" s="25" customFormat="1" ht="12.75"/>
    <row r="50" s="25" customFormat="1" ht="12.75"/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3:C43"/>
    <mergeCell ref="F43:G43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44" sqref="F44:G44"/>
    </sheetView>
  </sheetViews>
  <sheetFormatPr defaultColWidth="9.140625" defaultRowHeight="15" outlineLevelCol="1"/>
  <cols>
    <col min="1" max="1" width="5.421875" style="23" customWidth="1"/>
    <col min="2" max="2" width="48.57421875" style="23" customWidth="1"/>
    <col min="3" max="3" width="15.421875" style="23" customWidth="1"/>
    <col min="4" max="4" width="14.8515625" style="23" customWidth="1"/>
    <col min="5" max="5" width="13.57421875" style="23" customWidth="1"/>
    <col min="6" max="6" width="13.00390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213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214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34545.93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4884.72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191602.44</v>
      </c>
      <c r="E17" s="146">
        <v>171686.8</v>
      </c>
      <c r="F17" s="146">
        <f>D17</f>
        <v>191602.44</v>
      </c>
      <c r="G17" s="147">
        <f>E17-D17</f>
        <v>-19915.640000000014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69088.44980963046</v>
      </c>
      <c r="E18" s="67">
        <f>E17*I18</f>
        <v>61907.222396416575</v>
      </c>
      <c r="F18" s="67">
        <f>D18</f>
        <v>69088.44980963046</v>
      </c>
      <c r="G18" s="68">
        <f aca="true" t="shared" si="0" ref="G18:G26">E18-D18</f>
        <v>-7181.227413213885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33900.543695408734</v>
      </c>
      <c r="E19" s="67">
        <f>E17*I19</f>
        <v>30376.835834266512</v>
      </c>
      <c r="F19" s="67">
        <f>D19</f>
        <v>33900.543695408734</v>
      </c>
      <c r="G19" s="68">
        <f t="shared" si="0"/>
        <v>-3523.707861142222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30467.57724524076</v>
      </c>
      <c r="E20" s="67">
        <f>E17*I20</f>
        <v>27300.70055991041</v>
      </c>
      <c r="F20" s="67">
        <f>D20</f>
        <v>30467.57724524076</v>
      </c>
      <c r="G20" s="68">
        <f t="shared" si="0"/>
        <v>-3166.8766853303496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58145.869249720046</v>
      </c>
      <c r="E21" s="67">
        <f>E17*I21</f>
        <v>52102.041209406496</v>
      </c>
      <c r="F21" s="67">
        <f>D21</f>
        <v>58145.869249720046</v>
      </c>
      <c r="G21" s="68">
        <f t="shared" si="0"/>
        <v>-6043.82804031355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3071.01</v>
      </c>
      <c r="F23" s="153">
        <f>D23</f>
        <v>0</v>
      </c>
      <c r="G23" s="153">
        <f t="shared" si="0"/>
        <v>3071.01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214560</v>
      </c>
      <c r="E25" s="153">
        <v>190352.24</v>
      </c>
      <c r="F25" s="153">
        <f>F40</f>
        <v>42054.142400000004</v>
      </c>
      <c r="G25" s="153">
        <f>E25-D25</f>
        <v>-24207.76000000001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1832.48</v>
      </c>
      <c r="D26" s="147">
        <v>13010.87</v>
      </c>
      <c r="E26" s="147">
        <v>11265.61</v>
      </c>
      <c r="F26" s="153">
        <f>D26</f>
        <v>13010.87</v>
      </c>
      <c r="G26" s="147">
        <f t="shared" si="0"/>
        <v>-1745.2600000000002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809797.93</v>
      </c>
      <c r="E27" s="147">
        <f>SUM(E28:E31)</f>
        <v>767824.12</v>
      </c>
      <c r="F27" s="147">
        <f>SUM(F28:F31)</f>
        <v>809797.93</v>
      </c>
      <c r="G27" s="147">
        <f>SUM(G28:G31)</f>
        <v>-41973.81000000007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3348.54</v>
      </c>
      <c r="E28" s="68">
        <v>2999.37</v>
      </c>
      <c r="F28" s="68">
        <f>D28</f>
        <v>3348.54</v>
      </c>
      <c r="G28" s="68">
        <f>E28-D28</f>
        <v>-349.1700000000001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277221.33</v>
      </c>
      <c r="E29" s="68">
        <v>280995.91</v>
      </c>
      <c r="F29" s="68">
        <f>D29</f>
        <v>277221.33</v>
      </c>
      <c r="G29" s="68">
        <f>E29-D29</f>
        <v>3774.579999999958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529228.06</v>
      </c>
      <c r="E31" s="68">
        <v>483828.84</v>
      </c>
      <c r="F31" s="68">
        <f>D31</f>
        <v>529228.06</v>
      </c>
      <c r="G31" s="68">
        <f>E31-D31</f>
        <v>-45399.22000000003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119317.3899999999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153182.81759999998</v>
      </c>
      <c r="H35" s="40"/>
      <c r="I35" s="40"/>
    </row>
    <row r="36" spans="1:11" s="15" customFormat="1" ht="1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3" s="20" customFormat="1" ht="29.25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SUM(F41:G44)</f>
        <v>42054.142400000004</v>
      </c>
      <c r="G40" s="291"/>
      <c r="H40" s="59"/>
      <c r="I40" s="60"/>
      <c r="J40" s="12"/>
      <c r="K40" s="12"/>
      <c r="N40" s="54"/>
    </row>
    <row r="41" spans="1:14" s="12" customFormat="1" ht="15" customHeight="1">
      <c r="A41" s="9" t="s">
        <v>16</v>
      </c>
      <c r="B41" s="271" t="s">
        <v>468</v>
      </c>
      <c r="C41" s="273"/>
      <c r="D41" s="158" t="s">
        <v>234</v>
      </c>
      <c r="E41" s="158">
        <v>0.2</v>
      </c>
      <c r="F41" s="308">
        <v>15167.2</v>
      </c>
      <c r="G41" s="309"/>
      <c r="H41" s="61"/>
      <c r="I41" s="62"/>
      <c r="J41" s="23"/>
      <c r="K41" s="23"/>
      <c r="N41" s="55"/>
    </row>
    <row r="42" spans="1:14" s="12" customFormat="1" ht="15" customHeight="1">
      <c r="A42" s="9" t="s">
        <v>18</v>
      </c>
      <c r="B42" s="271" t="s">
        <v>574</v>
      </c>
      <c r="C42" s="273"/>
      <c r="D42" s="158"/>
      <c r="E42" s="158"/>
      <c r="F42" s="308">
        <v>14983.42</v>
      </c>
      <c r="G42" s="309"/>
      <c r="H42" s="90"/>
      <c r="I42" s="90"/>
      <c r="J42" s="23"/>
      <c r="K42" s="23"/>
      <c r="N42" s="55"/>
    </row>
    <row r="43" spans="1:14" s="12" customFormat="1" ht="15" customHeight="1">
      <c r="A43" s="9" t="s">
        <v>20</v>
      </c>
      <c r="B43" s="271" t="s">
        <v>718</v>
      </c>
      <c r="C43" s="273"/>
      <c r="D43" s="158"/>
      <c r="E43" s="158"/>
      <c r="F43" s="308">
        <v>10000</v>
      </c>
      <c r="G43" s="309"/>
      <c r="H43" s="90"/>
      <c r="I43" s="90"/>
      <c r="J43" s="23"/>
      <c r="K43" s="23"/>
      <c r="N43" s="55"/>
    </row>
    <row r="44" spans="1:14" ht="15.75" customHeight="1">
      <c r="A44" s="9" t="s">
        <v>22</v>
      </c>
      <c r="B44" s="306" t="s">
        <v>286</v>
      </c>
      <c r="C44" s="307"/>
      <c r="D44" s="199"/>
      <c r="E44" s="199"/>
      <c r="F44" s="296">
        <f>E25*1%</f>
        <v>1903.5223999999998</v>
      </c>
      <c r="G44" s="296"/>
      <c r="H44" s="25"/>
      <c r="I44" s="25"/>
      <c r="J44" s="25"/>
      <c r="K44" s="25"/>
      <c r="N44" s="56"/>
    </row>
    <row r="45" spans="1:11" ht="7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25" customFormat="1" ht="1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3"/>
      <c r="I46" s="3"/>
      <c r="J46" s="3"/>
      <c r="K46" s="3"/>
    </row>
    <row r="47" spans="1:7" s="25" customFormat="1" ht="15">
      <c r="A47" s="3"/>
      <c r="B47" s="3"/>
      <c r="C47" s="101"/>
      <c r="D47" s="3"/>
      <c r="E47" s="3"/>
      <c r="F47" s="4" t="s">
        <v>303</v>
      </c>
      <c r="G47" s="3"/>
    </row>
    <row r="48" spans="1:11" s="3" customFormat="1" ht="15">
      <c r="A48" s="3" t="s">
        <v>50</v>
      </c>
      <c r="C48" s="101"/>
      <c r="H48" s="34"/>
      <c r="I48" s="34"/>
      <c r="J48" s="34"/>
      <c r="K48" s="25"/>
    </row>
    <row r="49" spans="1:7" s="25" customFormat="1" ht="15">
      <c r="A49" s="3"/>
      <c r="B49" s="3"/>
      <c r="C49" s="106" t="s">
        <v>51</v>
      </c>
      <c r="D49" s="3"/>
      <c r="E49" s="14"/>
      <c r="F49" s="14"/>
      <c r="G49" s="14"/>
    </row>
    <row r="50" s="25" customFormat="1" ht="12.75"/>
    <row r="51" s="25" customFormat="1" ht="12.75"/>
  </sheetData>
  <sheetProtection/>
  <mergeCells count="22">
    <mergeCell ref="B40:C40"/>
    <mergeCell ref="F40:G40"/>
    <mergeCell ref="B41:C41"/>
    <mergeCell ref="F41:G41"/>
    <mergeCell ref="B44:C44"/>
    <mergeCell ref="F44:G44"/>
    <mergeCell ref="B42:C42"/>
    <mergeCell ref="F42:G42"/>
    <mergeCell ref="B43:C43"/>
    <mergeCell ref="F43:G43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40" sqref="E40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392</v>
      </c>
      <c r="H7" s="26"/>
    </row>
    <row r="8" spans="1:8" s="25" customFormat="1" ht="12.75">
      <c r="A8" s="25" t="s">
        <v>3</v>
      </c>
      <c r="F8" s="26" t="s">
        <v>393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390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391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8.93</v>
      </c>
      <c r="D17" s="146">
        <v>139715.52</v>
      </c>
      <c r="E17" s="146">
        <v>127127.03</v>
      </c>
      <c r="F17" s="146">
        <f aca="true" t="shared" si="0" ref="F17:F24">D17</f>
        <v>139715.52</v>
      </c>
      <c r="G17" s="147">
        <f>E17-D17</f>
        <v>-12588.48999999999</v>
      </c>
      <c r="H17" s="70">
        <f>C17</f>
        <v>8.93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50378.94450167973</v>
      </c>
      <c r="E18" s="67">
        <f>E17*I18</f>
        <v>45839.75773796193</v>
      </c>
      <c r="F18" s="67">
        <f t="shared" si="0"/>
        <v>50378.94450167973</v>
      </c>
      <c r="G18" s="68">
        <f aca="true" t="shared" si="1" ref="G18:G26">E18-D18</f>
        <v>-4539.1867637178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92">
        <v>1.58</v>
      </c>
      <c r="D19" s="67">
        <f>D17*I19</f>
        <v>24720.10320268757</v>
      </c>
      <c r="E19" s="67">
        <f>E17*I19</f>
        <v>22492.80038073908</v>
      </c>
      <c r="F19" s="67">
        <f t="shared" si="0"/>
        <v>24720.10320268757</v>
      </c>
      <c r="G19" s="68">
        <f t="shared" si="1"/>
        <v>-2227.3028219484877</v>
      </c>
      <c r="H19" s="70">
        <f>C19</f>
        <v>1.58</v>
      </c>
      <c r="I19" s="32">
        <f>H19/H17</f>
        <v>0.1769316909294513</v>
      </c>
    </row>
    <row r="20" spans="1:9" s="25" customFormat="1" ht="15">
      <c r="A20" s="8" t="s">
        <v>20</v>
      </c>
      <c r="B20" s="9" t="s">
        <v>21</v>
      </c>
      <c r="C20" s="92">
        <v>1.42</v>
      </c>
      <c r="D20" s="67">
        <f>D17*I20</f>
        <v>22216.80161254199</v>
      </c>
      <c r="E20" s="67">
        <f>E17*I20</f>
        <v>20215.048443449046</v>
      </c>
      <c r="F20" s="67">
        <f t="shared" si="0"/>
        <v>22216.80161254199</v>
      </c>
      <c r="G20" s="68">
        <f t="shared" si="1"/>
        <v>-2001.7531690929427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42399.670683090706</v>
      </c>
      <c r="E21" s="67">
        <f>E17*I21</f>
        <v>38579.423437849946</v>
      </c>
      <c r="F21" s="67">
        <f t="shared" si="0"/>
        <v>42399.670683090706</v>
      </c>
      <c r="G21" s="68">
        <f t="shared" si="1"/>
        <v>-3820.24724524076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1.74</v>
      </c>
      <c r="D25" s="153">
        <v>27223.38</v>
      </c>
      <c r="E25" s="153">
        <v>24759.05</v>
      </c>
      <c r="F25" s="153">
        <f>F39</f>
        <v>1816.6405</v>
      </c>
      <c r="G25" s="153">
        <f>E25-D25</f>
        <v>-2464.3300000000017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603767.98</v>
      </c>
      <c r="E27" s="147">
        <f>SUM(E28:E31)</f>
        <v>551241.74</v>
      </c>
      <c r="F27" s="147">
        <f>SUM(F28:F31)</f>
        <v>603767.98</v>
      </c>
      <c r="G27" s="147">
        <f>SUM(G28:G31)</f>
        <v>-52526.23999999995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3996.18</v>
      </c>
      <c r="E28" s="68">
        <v>3634.32</v>
      </c>
      <c r="F28" s="68">
        <f>D28</f>
        <v>3996.18</v>
      </c>
      <c r="G28" s="68">
        <f>E28-D28</f>
        <v>-361.8599999999997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211220.83</v>
      </c>
      <c r="E29" s="68">
        <v>202147.08</v>
      </c>
      <c r="F29" s="68">
        <f>D29</f>
        <v>211220.83</v>
      </c>
      <c r="G29" s="68">
        <f>E29-D29</f>
        <v>-9073.75</v>
      </c>
    </row>
    <row r="30" spans="1:7" ht="15">
      <c r="A30" s="9" t="s">
        <v>42</v>
      </c>
      <c r="B30" s="9" t="s">
        <v>170</v>
      </c>
      <c r="C30" s="182">
        <v>0</v>
      </c>
      <c r="D30" s="222">
        <v>0</v>
      </c>
      <c r="E30" s="222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82" t="s">
        <v>387</v>
      </c>
      <c r="D31" s="68">
        <v>388550.97</v>
      </c>
      <c r="E31" s="68">
        <v>345460.34</v>
      </c>
      <c r="F31" s="68">
        <f>D31</f>
        <v>388550.97</v>
      </c>
      <c r="G31" s="68">
        <f>E31-D31</f>
        <v>-43090.62999999995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67579.05999999994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22942.409499999998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SUM(F40:G41)</f>
        <v>1816.6405</v>
      </c>
      <c r="G39" s="291"/>
      <c r="H39" s="59"/>
      <c r="I39" s="60"/>
      <c r="L39" s="55"/>
    </row>
    <row r="40" spans="1:12" ht="15">
      <c r="A40" s="9" t="s">
        <v>16</v>
      </c>
      <c r="B40" s="271" t="s">
        <v>704</v>
      </c>
      <c r="C40" s="273"/>
      <c r="D40" s="158" t="s">
        <v>233</v>
      </c>
      <c r="E40" s="158">
        <v>0.04</v>
      </c>
      <c r="F40" s="308">
        <v>1569.05</v>
      </c>
      <c r="G40" s="309"/>
      <c r="H40" s="61"/>
      <c r="I40" s="62"/>
      <c r="L40" s="56"/>
    </row>
    <row r="41" spans="1:11" s="3" customFormat="1" ht="15">
      <c r="A41" s="9" t="s">
        <v>20</v>
      </c>
      <c r="B41" s="306" t="s">
        <v>286</v>
      </c>
      <c r="C41" s="307"/>
      <c r="D41" s="199"/>
      <c r="E41" s="199"/>
      <c r="F41" s="296">
        <f>E25*1%</f>
        <v>247.5905</v>
      </c>
      <c r="G41" s="296"/>
      <c r="H41" s="25"/>
      <c r="I41" s="25"/>
      <c r="J41" s="25"/>
      <c r="K41" s="25"/>
    </row>
    <row r="42" s="25" customFormat="1" ht="12.75"/>
    <row r="43" spans="1:10" s="25" customFormat="1" ht="15">
      <c r="A43" s="3" t="s">
        <v>55</v>
      </c>
      <c r="B43" s="3"/>
      <c r="C43" s="101" t="s">
        <v>49</v>
      </c>
      <c r="D43" s="3"/>
      <c r="E43" s="3"/>
      <c r="F43" s="3" t="s">
        <v>102</v>
      </c>
      <c r="G43" s="3"/>
      <c r="H43" s="34"/>
      <c r="I43" s="34"/>
      <c r="J43" s="34"/>
    </row>
    <row r="44" spans="1:11" ht="15">
      <c r="A44" s="3"/>
      <c r="B44" s="3"/>
      <c r="C44" s="101"/>
      <c r="D44" s="3"/>
      <c r="E44" s="3"/>
      <c r="F44" s="4" t="s">
        <v>303</v>
      </c>
      <c r="G44" s="3"/>
      <c r="H44" s="25"/>
      <c r="I44" s="25"/>
      <c r="J44" s="25"/>
      <c r="K44" s="25"/>
    </row>
    <row r="45" spans="1:11" ht="15">
      <c r="A45" s="3" t="s">
        <v>50</v>
      </c>
      <c r="B45" s="3"/>
      <c r="C45" s="101"/>
      <c r="D45" s="3"/>
      <c r="E45" s="3"/>
      <c r="F45" s="3"/>
      <c r="G45" s="3"/>
      <c r="H45" s="25"/>
      <c r="I45" s="25"/>
      <c r="J45" s="25"/>
      <c r="K45" s="25"/>
    </row>
    <row r="46" spans="1:7" ht="15">
      <c r="A46" s="3"/>
      <c r="B46" s="3"/>
      <c r="C46" s="106" t="s">
        <v>51</v>
      </c>
      <c r="D46" s="3"/>
      <c r="E46" s="14"/>
      <c r="F46" s="14"/>
      <c r="G46" s="14"/>
    </row>
    <row r="47" spans="1:7" ht="12.75">
      <c r="A47" s="25"/>
      <c r="B47" s="25"/>
      <c r="C47" s="25"/>
      <c r="D47" s="25"/>
      <c r="E47" s="25"/>
      <c r="F47" s="25"/>
      <c r="G47" s="25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C27" sqref="C27"/>
    </sheetView>
  </sheetViews>
  <sheetFormatPr defaultColWidth="9.140625" defaultRowHeight="15" outlineLevelCol="1"/>
  <cols>
    <col min="1" max="1" width="4.7109375" style="1" customWidth="1"/>
    <col min="2" max="2" width="48.00390625" style="1" customWidth="1"/>
    <col min="3" max="3" width="12.8515625" style="1" customWidth="1"/>
    <col min="4" max="4" width="13.140625" style="1" bestFit="1" customWidth="1"/>
    <col min="5" max="5" width="14.28125" style="1" customWidth="1"/>
    <col min="6" max="6" width="15.14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4.2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5" s="3" customFormat="1" ht="16.5" customHeight="1">
      <c r="A7" s="3" t="s">
        <v>2</v>
      </c>
      <c r="E7" s="4" t="s">
        <v>60</v>
      </c>
    </row>
    <row r="8" spans="1:5" s="3" customFormat="1" ht="15">
      <c r="A8" s="3" t="s">
        <v>3</v>
      </c>
      <c r="E8" s="4" t="s">
        <v>179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790185.29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171860.84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191607.34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4.25">
      <c r="A19" s="163" t="s">
        <v>14</v>
      </c>
      <c r="B19" s="129" t="s">
        <v>15</v>
      </c>
      <c r="C19" s="145">
        <f>C20+C21+C22+C23</f>
        <v>8.93</v>
      </c>
      <c r="D19" s="146">
        <v>375349.68</v>
      </c>
      <c r="E19" s="146">
        <v>372542.83</v>
      </c>
      <c r="F19" s="146">
        <f>D19</f>
        <v>375349.68</v>
      </c>
      <c r="G19" s="147">
        <f aca="true" t="shared" si="0" ref="G19:G28">E19-D19</f>
        <v>-2806.8499999999767</v>
      </c>
      <c r="H19" s="164">
        <f>C19</f>
        <v>8.93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135344.4534826428</v>
      </c>
      <c r="E20" s="67">
        <f>E19*I20</f>
        <v>134332.35303471447</v>
      </c>
      <c r="F20" s="67">
        <f>D20</f>
        <v>135344.4534826428</v>
      </c>
      <c r="G20" s="68">
        <f t="shared" si="0"/>
        <v>-1012.1004479283292</v>
      </c>
      <c r="H20" s="71">
        <f>C20</f>
        <v>3.22</v>
      </c>
      <c r="I20" s="15">
        <f>H20/H19</f>
        <v>0.3605823068309071</v>
      </c>
    </row>
    <row r="21" spans="1:9" s="3" customFormat="1" ht="15">
      <c r="A21" s="8" t="s">
        <v>18</v>
      </c>
      <c r="B21" s="9" t="s">
        <v>19</v>
      </c>
      <c r="C21" s="139">
        <f>1.43+0.15</f>
        <v>1.5799999999999998</v>
      </c>
      <c r="D21" s="67">
        <f>D19*I21</f>
        <v>66411.25357222844</v>
      </c>
      <c r="E21" s="67">
        <f>E19*I21</f>
        <v>65914.63285554311</v>
      </c>
      <c r="F21" s="67">
        <f>D21</f>
        <v>66411.25357222844</v>
      </c>
      <c r="G21" s="68">
        <f t="shared" si="0"/>
        <v>-496.62071668532735</v>
      </c>
      <c r="H21" s="71">
        <f>C21</f>
        <v>1.5799999999999998</v>
      </c>
      <c r="I21" s="15">
        <f>H21/H19</f>
        <v>0.17693169092945127</v>
      </c>
    </row>
    <row r="22" spans="1:9" s="3" customFormat="1" ht="15">
      <c r="A22" s="8" t="s">
        <v>20</v>
      </c>
      <c r="B22" s="9" t="s">
        <v>21</v>
      </c>
      <c r="C22" s="139">
        <f>1.89-0.47</f>
        <v>1.42</v>
      </c>
      <c r="D22" s="67">
        <f>D19*I22</f>
        <v>59686.063337066065</v>
      </c>
      <c r="E22" s="67">
        <f>E19*I22</f>
        <v>59239.733325867855</v>
      </c>
      <c r="F22" s="67">
        <f>D22</f>
        <v>59686.063337066065</v>
      </c>
      <c r="G22" s="68">
        <f t="shared" si="0"/>
        <v>-446.33001119820983</v>
      </c>
      <c r="H22" s="71">
        <f>C22</f>
        <v>1.42</v>
      </c>
      <c r="I22" s="15">
        <f>H22/H19</f>
        <v>0.15901455767077266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113907.9096080627</v>
      </c>
      <c r="E23" s="67">
        <f>E19*I23</f>
        <v>113056.11078387458</v>
      </c>
      <c r="F23" s="67">
        <f>D23</f>
        <v>113907.9096080627</v>
      </c>
      <c r="G23" s="68">
        <f t="shared" si="0"/>
        <v>-851.7988241881249</v>
      </c>
      <c r="H23" s="71">
        <f>C23</f>
        <v>2.71</v>
      </c>
      <c r="I23" s="15">
        <f>H23/H19</f>
        <v>0.303471444568869</v>
      </c>
    </row>
    <row r="24" spans="1:7" s="162" customFormat="1" ht="14.25">
      <c r="A24" s="129" t="s">
        <v>25</v>
      </c>
      <c r="B24" s="151" t="s">
        <v>26</v>
      </c>
      <c r="C24" s="175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75">
        <v>0</v>
      </c>
      <c r="D25" s="147">
        <v>0</v>
      </c>
      <c r="E25" s="147">
        <v>10854.72</v>
      </c>
      <c r="F25" s="146">
        <f>D25</f>
        <v>0</v>
      </c>
      <c r="G25" s="147">
        <f t="shared" si="0"/>
        <v>10854.72</v>
      </c>
    </row>
    <row r="26" spans="1:7" s="162" customFormat="1" ht="14.2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6">
        <f t="shared" si="1"/>
        <v>0</v>
      </c>
      <c r="G26" s="147">
        <f t="shared" si="0"/>
        <v>0</v>
      </c>
    </row>
    <row r="27" spans="1:7" s="162" customFormat="1" ht="14.25">
      <c r="A27" s="129" t="s">
        <v>31</v>
      </c>
      <c r="B27" s="151" t="s">
        <v>131</v>
      </c>
      <c r="C27" s="175">
        <v>1.74</v>
      </c>
      <c r="D27" s="147">
        <v>73136.4</v>
      </c>
      <c r="E27" s="147">
        <v>72719.99</v>
      </c>
      <c r="F27" s="146">
        <f>F43</f>
        <v>16040.3599</v>
      </c>
      <c r="G27" s="147">
        <f t="shared" si="0"/>
        <v>-416.40999999998894</v>
      </c>
    </row>
    <row r="28" spans="1:7" s="162" customFormat="1" ht="14.25">
      <c r="A28" s="129" t="s">
        <v>33</v>
      </c>
      <c r="B28" s="36" t="s">
        <v>34</v>
      </c>
      <c r="C28" s="176">
        <v>0</v>
      </c>
      <c r="D28" s="147">
        <v>0</v>
      </c>
      <c r="E28" s="147">
        <v>0.01</v>
      </c>
      <c r="F28" s="146">
        <f>D28</f>
        <v>0</v>
      </c>
      <c r="G28" s="147">
        <f t="shared" si="0"/>
        <v>0.01</v>
      </c>
    </row>
    <row r="29" spans="1:7" s="162" customFormat="1" ht="14.25">
      <c r="A29" s="129" t="s">
        <v>35</v>
      </c>
      <c r="B29" s="36" t="s">
        <v>36</v>
      </c>
      <c r="C29" s="175"/>
      <c r="D29" s="147">
        <f>SUM(D30:D33)</f>
        <v>1815024.58</v>
      </c>
      <c r="E29" s="147">
        <f>SUM(E30:E33)</f>
        <v>1793979.6800000002</v>
      </c>
      <c r="F29" s="146">
        <f t="shared" si="1"/>
        <v>1815024.58</v>
      </c>
      <c r="G29" s="147">
        <f>SUM(G30:G33)</f>
        <v>-21044.900000000023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8465.46</v>
      </c>
      <c r="E30" s="68">
        <v>8468.71</v>
      </c>
      <c r="F30" s="67">
        <f>D30</f>
        <v>8465.46</v>
      </c>
      <c r="G30" s="68">
        <f>E30-D30</f>
        <v>3.25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523872.58</v>
      </c>
      <c r="E31" s="68">
        <v>521026.44</v>
      </c>
      <c r="F31" s="67">
        <f t="shared" si="1"/>
        <v>523872.58</v>
      </c>
      <c r="G31" s="68">
        <f>E31-D31</f>
        <v>-2846.140000000014</v>
      </c>
    </row>
    <row r="32" spans="1:7" ht="14.25" customHeight="1">
      <c r="A32" s="9" t="s">
        <v>42</v>
      </c>
      <c r="B32" s="9" t="s">
        <v>40</v>
      </c>
      <c r="C32" s="182">
        <v>0</v>
      </c>
      <c r="D32" s="96">
        <v>0</v>
      </c>
      <c r="E32" s="96">
        <v>0</v>
      </c>
      <c r="F32" s="67">
        <f t="shared" si="1"/>
        <v>0</v>
      </c>
      <c r="G32" s="96">
        <f>E32-D32</f>
        <v>0</v>
      </c>
    </row>
    <row r="33" spans="1:7" ht="15" customHeight="1">
      <c r="A33" s="9" t="s">
        <v>41</v>
      </c>
      <c r="B33" s="9" t="s">
        <v>43</v>
      </c>
      <c r="C33" s="134" t="s">
        <v>316</v>
      </c>
      <c r="D33" s="68">
        <v>1282686.54</v>
      </c>
      <c r="E33" s="68">
        <v>1264484.53</v>
      </c>
      <c r="F33" s="67">
        <f t="shared" si="1"/>
        <v>1282686.54</v>
      </c>
      <c r="G33" s="68">
        <f>E33-D33</f>
        <v>-18202.01000000001</v>
      </c>
    </row>
    <row r="34" spans="1:10" s="20" customFormat="1" ht="9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304" t="s">
        <v>299</v>
      </c>
      <c r="B35" s="305"/>
      <c r="C35" s="305"/>
      <c r="D35" s="73">
        <f>D13+D19+D24+D25+D26+D27+D28+D29-E19-E24-E25-E26-E27-E28-E29</f>
        <v>803598.7199999997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171860.85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248286.9701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1:9" ht="24" customHeight="1">
      <c r="A40" s="267" t="s">
        <v>44</v>
      </c>
      <c r="B40" s="267"/>
      <c r="C40" s="267"/>
      <c r="D40" s="267"/>
      <c r="E40" s="267"/>
      <c r="F40" s="267"/>
      <c r="G40" s="267"/>
      <c r="H40" s="267"/>
      <c r="I40" s="267"/>
    </row>
    <row r="41" ht="8.25" customHeight="1"/>
    <row r="42" spans="1:7" s="7" customFormat="1" ht="28.5" customHeight="1">
      <c r="A42" s="5" t="s">
        <v>11</v>
      </c>
      <c r="B42" s="166" t="s">
        <v>45</v>
      </c>
      <c r="C42" s="167"/>
      <c r="D42" s="5" t="s">
        <v>232</v>
      </c>
      <c r="E42" s="5" t="s">
        <v>231</v>
      </c>
      <c r="F42" s="285" t="s">
        <v>46</v>
      </c>
      <c r="G42" s="291"/>
    </row>
    <row r="43" spans="1:7" s="12" customFormat="1" ht="14.25" customHeight="1">
      <c r="A43" s="11" t="s">
        <v>47</v>
      </c>
      <c r="B43" s="287" t="s">
        <v>126</v>
      </c>
      <c r="C43" s="288"/>
      <c r="D43" s="169"/>
      <c r="E43" s="169"/>
      <c r="F43" s="295">
        <f>SUM(F44:L48)</f>
        <v>16040.3599</v>
      </c>
      <c r="G43" s="291"/>
    </row>
    <row r="44" spans="1:7" ht="14.25" customHeight="1">
      <c r="A44" s="9" t="s">
        <v>16</v>
      </c>
      <c r="B44" s="271" t="s">
        <v>430</v>
      </c>
      <c r="C44" s="273"/>
      <c r="D44" s="168" t="s">
        <v>234</v>
      </c>
      <c r="E44" s="168"/>
      <c r="F44" s="294">
        <v>2327.6</v>
      </c>
      <c r="G44" s="294"/>
    </row>
    <row r="45" spans="1:7" ht="14.25" customHeight="1">
      <c r="A45" s="9" t="s">
        <v>18</v>
      </c>
      <c r="B45" s="271" t="s">
        <v>437</v>
      </c>
      <c r="C45" s="273"/>
      <c r="D45" s="168" t="s">
        <v>410</v>
      </c>
      <c r="E45" s="225">
        <v>0.01</v>
      </c>
      <c r="F45" s="294">
        <v>3098.66</v>
      </c>
      <c r="G45" s="294"/>
    </row>
    <row r="46" spans="1:7" ht="14.25" customHeight="1">
      <c r="A46" s="9" t="s">
        <v>20</v>
      </c>
      <c r="B46" s="271" t="s">
        <v>438</v>
      </c>
      <c r="C46" s="273"/>
      <c r="D46" s="168" t="s">
        <v>410</v>
      </c>
      <c r="E46" s="225">
        <v>0.01</v>
      </c>
      <c r="F46" s="294">
        <v>3473.72</v>
      </c>
      <c r="G46" s="294"/>
    </row>
    <row r="47" spans="1:7" ht="14.25" customHeight="1">
      <c r="A47" s="9" t="s">
        <v>22</v>
      </c>
      <c r="B47" s="271" t="s">
        <v>439</v>
      </c>
      <c r="C47" s="273"/>
      <c r="D47" s="168" t="s">
        <v>416</v>
      </c>
      <c r="E47" s="225">
        <v>0.015</v>
      </c>
      <c r="F47" s="294">
        <v>6413.18</v>
      </c>
      <c r="G47" s="294"/>
    </row>
    <row r="48" spans="1:7" s="48" customFormat="1" ht="14.25" customHeight="1">
      <c r="A48" s="9" t="s">
        <v>24</v>
      </c>
      <c r="B48" s="171" t="s">
        <v>286</v>
      </c>
      <c r="C48" s="172"/>
      <c r="D48" s="181"/>
      <c r="E48" s="181"/>
      <c r="F48" s="296">
        <f>E27*1%</f>
        <v>727.1999000000001</v>
      </c>
      <c r="G48" s="296"/>
    </row>
    <row r="49" spans="2:5" ht="8.25" customHeight="1">
      <c r="B49" s="13"/>
      <c r="C49" s="13"/>
      <c r="D49" s="13"/>
      <c r="E49" s="13"/>
    </row>
    <row r="50" spans="1:6" s="3" customFormat="1" ht="15">
      <c r="A50" s="3" t="s">
        <v>55</v>
      </c>
      <c r="C50" s="3" t="s">
        <v>49</v>
      </c>
      <c r="F50" s="3" t="s">
        <v>102</v>
      </c>
    </row>
    <row r="51" s="3" customFormat="1" ht="13.5" customHeight="1">
      <c r="F51" s="4" t="s">
        <v>303</v>
      </c>
    </row>
    <row r="52" s="3" customFormat="1" ht="15">
      <c r="A52" s="3" t="s">
        <v>50</v>
      </c>
    </row>
    <row r="53" spans="3:7" s="3" customFormat="1" ht="15">
      <c r="C53" s="14" t="s">
        <v>51</v>
      </c>
      <c r="E53" s="14"/>
      <c r="F53" s="14"/>
      <c r="G53" s="14"/>
    </row>
    <row r="54" s="3" customFormat="1" ht="15"/>
    <row r="55" s="3" customFormat="1" ht="15"/>
  </sheetData>
  <sheetProtection/>
  <mergeCells count="22">
    <mergeCell ref="A11:I11"/>
    <mergeCell ref="A1:I1"/>
    <mergeCell ref="A2:I2"/>
    <mergeCell ref="A5:I5"/>
    <mergeCell ref="A10:I10"/>
    <mergeCell ref="A3:K3"/>
    <mergeCell ref="F42:G42"/>
    <mergeCell ref="F43:G43"/>
    <mergeCell ref="A13:C13"/>
    <mergeCell ref="A35:C35"/>
    <mergeCell ref="B43:C43"/>
    <mergeCell ref="A12:I12"/>
    <mergeCell ref="A40:I40"/>
    <mergeCell ref="F48:G48"/>
    <mergeCell ref="F44:G44"/>
    <mergeCell ref="F45:G45"/>
    <mergeCell ref="F46:G46"/>
    <mergeCell ref="B44:C44"/>
    <mergeCell ref="B45:C45"/>
    <mergeCell ref="B46:C46"/>
    <mergeCell ref="B47:C47"/>
    <mergeCell ref="F47:G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F41" sqref="F41:G41"/>
    </sheetView>
  </sheetViews>
  <sheetFormatPr defaultColWidth="9.140625" defaultRowHeight="15" outlineLevelCol="1"/>
  <cols>
    <col min="1" max="1" width="5.57421875" style="23" customWidth="1"/>
    <col min="2" max="2" width="51.8515625" style="23" customWidth="1"/>
    <col min="3" max="3" width="15.710937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215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216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102803.46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-208583.75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212932.2</v>
      </c>
      <c r="E17" s="146">
        <v>205582.48</v>
      </c>
      <c r="F17" s="146">
        <f>D17</f>
        <v>212932.2</v>
      </c>
      <c r="G17" s="147">
        <f>E17-D17</f>
        <v>-7349.720000000001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76779.58387458007</v>
      </c>
      <c r="E18" s="67">
        <f>E17*I18</f>
        <v>74129.40488241882</v>
      </c>
      <c r="F18" s="67">
        <f>D18</f>
        <v>76779.58387458007</v>
      </c>
      <c r="G18" s="68">
        <f aca="true" t="shared" si="0" ref="G18:G26">E18-D18</f>
        <v>-2650.178992161251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37674.4541993281</v>
      </c>
      <c r="E19" s="67">
        <f>E17*I19</f>
        <v>36374.0558118701</v>
      </c>
      <c r="F19" s="67">
        <f>D19</f>
        <v>37674.4541993281</v>
      </c>
      <c r="G19" s="68">
        <f t="shared" si="0"/>
        <v>-1300.3983874580008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33859.3195968645</v>
      </c>
      <c r="E20" s="67">
        <f>E17*I20</f>
        <v>32690.607122060468</v>
      </c>
      <c r="F20" s="67">
        <f>D20</f>
        <v>33859.3195968645</v>
      </c>
      <c r="G20" s="68">
        <f t="shared" si="0"/>
        <v>-1168.7124748040333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64618.84232922733</v>
      </c>
      <c r="E21" s="67">
        <f>E17*I21</f>
        <v>62388.412183650624</v>
      </c>
      <c r="F21" s="67">
        <f>D21</f>
        <v>64618.84232922733</v>
      </c>
      <c r="G21" s="68">
        <f t="shared" si="0"/>
        <v>-2230.4301455767054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4235.16</v>
      </c>
      <c r="F23" s="153">
        <f>D23</f>
        <v>0</v>
      </c>
      <c r="G23" s="153">
        <f t="shared" si="0"/>
        <v>4235.16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238446</v>
      </c>
      <c r="E25" s="153">
        <v>223013.81</v>
      </c>
      <c r="F25" s="153">
        <f>F40</f>
        <v>34607.558099999995</v>
      </c>
      <c r="G25" s="153">
        <f>E25-D25</f>
        <v>-15432.190000000002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1832.48</v>
      </c>
      <c r="D26" s="147">
        <v>5811.47</v>
      </c>
      <c r="E26" s="147">
        <v>5029.9</v>
      </c>
      <c r="F26" s="153">
        <f>D26</f>
        <v>5811.47</v>
      </c>
      <c r="G26" s="147">
        <f t="shared" si="0"/>
        <v>-781.5700000000006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879251.96</v>
      </c>
      <c r="E27" s="147">
        <f>SUM(E28:E31)</f>
        <v>853409.85</v>
      </c>
      <c r="F27" s="147">
        <f>SUM(F28:F31)</f>
        <v>879251.96</v>
      </c>
      <c r="G27" s="147">
        <f>SUM(G28:G31)</f>
        <v>-25842.110000000037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3901.2</v>
      </c>
      <c r="E28" s="68">
        <v>3766.35</v>
      </c>
      <c r="F28" s="68">
        <f>D28</f>
        <v>3901.2</v>
      </c>
      <c r="G28" s="68">
        <f>E28-D28</f>
        <v>-134.8499999999999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252359.99</v>
      </c>
      <c r="E29" s="68">
        <v>242639.54</v>
      </c>
      <c r="F29" s="68">
        <f>D29</f>
        <v>252359.99</v>
      </c>
      <c r="G29" s="68">
        <f>E29-D29</f>
        <v>-9720.449999999983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622990.77</v>
      </c>
      <c r="E31" s="68">
        <v>607003.96</v>
      </c>
      <c r="F31" s="68">
        <f>D31</f>
        <v>622990.77</v>
      </c>
      <c r="G31" s="68">
        <f>E31-D31</f>
        <v>-15986.810000000056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147973.8899999999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-20177.498099999997</v>
      </c>
      <c r="H35" s="40"/>
      <c r="I35" s="40"/>
    </row>
    <row r="36" spans="1:13" s="20" customFormat="1" ht="13.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3" s="20" customFormat="1" ht="27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SUM(F41:G44)</f>
        <v>34607.558099999995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574</v>
      </c>
      <c r="C41" s="273"/>
      <c r="D41" s="158"/>
      <c r="E41" s="158"/>
      <c r="F41" s="308">
        <v>14983.42</v>
      </c>
      <c r="G41" s="309"/>
      <c r="H41" s="61"/>
      <c r="I41" s="62"/>
      <c r="J41" s="23"/>
      <c r="K41" s="23"/>
      <c r="N41" s="55"/>
    </row>
    <row r="42" spans="1:14" ht="15">
      <c r="A42" s="9" t="s">
        <v>18</v>
      </c>
      <c r="B42" s="271" t="s">
        <v>252</v>
      </c>
      <c r="C42" s="273"/>
      <c r="D42" s="158" t="s">
        <v>233</v>
      </c>
      <c r="E42" s="158">
        <v>0.1</v>
      </c>
      <c r="F42" s="308">
        <v>7394</v>
      </c>
      <c r="G42" s="309"/>
      <c r="H42" s="90"/>
      <c r="I42" s="90"/>
      <c r="N42" s="56"/>
    </row>
    <row r="43" spans="1:14" ht="15">
      <c r="A43" s="9" t="s">
        <v>20</v>
      </c>
      <c r="B43" s="271" t="s">
        <v>718</v>
      </c>
      <c r="C43" s="273"/>
      <c r="D43" s="158"/>
      <c r="E43" s="158"/>
      <c r="F43" s="308">
        <v>10000</v>
      </c>
      <c r="G43" s="309"/>
      <c r="H43" s="90"/>
      <c r="I43" s="90"/>
      <c r="N43" s="56"/>
    </row>
    <row r="44" spans="1:7" s="25" customFormat="1" ht="15">
      <c r="A44" s="9" t="s">
        <v>22</v>
      </c>
      <c r="B44" s="306" t="s">
        <v>286</v>
      </c>
      <c r="C44" s="307"/>
      <c r="D44" s="199"/>
      <c r="E44" s="199"/>
      <c r="F44" s="296">
        <f>E25*1%</f>
        <v>2230.1381</v>
      </c>
      <c r="G44" s="296"/>
    </row>
    <row r="45" spans="1:11" s="3" customFormat="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25" customFormat="1" ht="1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3"/>
      <c r="I46" s="3"/>
      <c r="J46" s="3"/>
      <c r="K46" s="3"/>
    </row>
    <row r="47" spans="1:7" s="25" customFormat="1" ht="15">
      <c r="A47" s="3"/>
      <c r="B47" s="3"/>
      <c r="C47" s="101"/>
      <c r="D47" s="3"/>
      <c r="E47" s="3"/>
      <c r="F47" s="4" t="s">
        <v>303</v>
      </c>
      <c r="G47" s="3"/>
    </row>
    <row r="48" spans="1:10" s="25" customFormat="1" ht="1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7" s="25" customFormat="1" ht="15">
      <c r="A49" s="3"/>
      <c r="B49" s="3"/>
      <c r="C49" s="106" t="s">
        <v>51</v>
      </c>
      <c r="D49" s="3"/>
      <c r="E49" s="14"/>
      <c r="F49" s="14"/>
      <c r="G49" s="14"/>
    </row>
    <row r="50" spans="1:1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sheetProtection/>
  <mergeCells count="22">
    <mergeCell ref="B43:C43"/>
    <mergeCell ref="F43:G43"/>
    <mergeCell ref="B41:C41"/>
    <mergeCell ref="F41:G41"/>
    <mergeCell ref="B42:C42"/>
    <mergeCell ref="F42:G42"/>
    <mergeCell ref="A1:K1"/>
    <mergeCell ref="A2:K2"/>
    <mergeCell ref="A3:K3"/>
    <mergeCell ref="A5:K5"/>
    <mergeCell ref="A9:K9"/>
    <mergeCell ref="F39:G39"/>
    <mergeCell ref="B44:C44"/>
    <mergeCell ref="F44:G44"/>
    <mergeCell ref="A10:K10"/>
    <mergeCell ref="A11:K11"/>
    <mergeCell ref="A12:C12"/>
    <mergeCell ref="A33:C33"/>
    <mergeCell ref="A37:K37"/>
    <mergeCell ref="B39:C39"/>
    <mergeCell ref="B40:C40"/>
    <mergeCell ref="F40:G40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41" sqref="F41:G41"/>
    </sheetView>
  </sheetViews>
  <sheetFormatPr defaultColWidth="9.140625" defaultRowHeight="15" outlineLevelCol="1"/>
  <cols>
    <col min="1" max="1" width="5.57421875" style="23" customWidth="1"/>
    <col min="2" max="2" width="51.8515625" style="23" customWidth="1"/>
    <col min="3" max="3" width="15.7109375" style="23" customWidth="1"/>
    <col min="4" max="4" width="14.8515625" style="23" customWidth="1"/>
    <col min="5" max="6" width="12.8515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269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270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137731.43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14031.8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145">
        <f>C18+C19+C20+C21</f>
        <v>8.93</v>
      </c>
      <c r="D17" s="146">
        <v>255334.8</v>
      </c>
      <c r="E17" s="146">
        <v>250880.99</v>
      </c>
      <c r="F17" s="146">
        <f>D17</f>
        <v>255334.8</v>
      </c>
      <c r="G17" s="147">
        <f>E17-D17</f>
        <v>-4453.809999999998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139">
        <v>3.22</v>
      </c>
      <c r="D18" s="67">
        <f>D17*I18</f>
        <v>92069.21119820829</v>
      </c>
      <c r="E18" s="67">
        <f>E17*I18</f>
        <v>90463.24611422172</v>
      </c>
      <c r="F18" s="67">
        <f>D18</f>
        <v>92069.21119820829</v>
      </c>
      <c r="G18" s="68">
        <f aca="true" t="shared" si="0" ref="G18:G26">E18-D18</f>
        <v>-1605.9650839865644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139">
        <f>1.43+0.15</f>
        <v>1.5799999999999998</v>
      </c>
      <c r="D19" s="67">
        <f>D17*I19</f>
        <v>45176.81791713325</v>
      </c>
      <c r="E19" s="67">
        <f>E17*I19</f>
        <v>44388.79778275475</v>
      </c>
      <c r="F19" s="67">
        <f>D19</f>
        <v>45176.81791713325</v>
      </c>
      <c r="G19" s="68">
        <f t="shared" si="0"/>
        <v>-788.0201343785011</v>
      </c>
      <c r="H19" s="70">
        <f>C19</f>
        <v>1.5799999999999998</v>
      </c>
      <c r="I19" s="32">
        <f>H19/H17</f>
        <v>0.17693169092945127</v>
      </c>
    </row>
    <row r="20" spans="1:9" s="25" customFormat="1" ht="15">
      <c r="A20" s="8" t="s">
        <v>20</v>
      </c>
      <c r="B20" s="9" t="s">
        <v>21</v>
      </c>
      <c r="C20" s="139">
        <f>1.89-0.47</f>
        <v>1.42</v>
      </c>
      <c r="D20" s="67">
        <f>D17*I20</f>
        <v>40601.9502799552</v>
      </c>
      <c r="E20" s="67">
        <f>E17*I20</f>
        <v>39893.72965285554</v>
      </c>
      <c r="F20" s="67">
        <f>D20</f>
        <v>40601.9502799552</v>
      </c>
      <c r="G20" s="68">
        <f t="shared" si="0"/>
        <v>-708.2206270996612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139">
        <v>2.71</v>
      </c>
      <c r="D21" s="67">
        <f>D17*I21</f>
        <v>77486.82060470324</v>
      </c>
      <c r="E21" s="67">
        <f>E17*I21</f>
        <v>76135.21645016797</v>
      </c>
      <c r="F21" s="67">
        <f>D21</f>
        <v>77486.82060470324</v>
      </c>
      <c r="G21" s="68">
        <f t="shared" si="0"/>
        <v>-1351.6041545352782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5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5">
        <v>0</v>
      </c>
      <c r="D23" s="153">
        <v>0</v>
      </c>
      <c r="E23" s="153">
        <v>6294.85</v>
      </c>
      <c r="F23" s="153">
        <f>D23</f>
        <v>0</v>
      </c>
      <c r="G23" s="153">
        <f t="shared" si="0"/>
        <v>6294.85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2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153">
        <v>1.74</v>
      </c>
      <c r="D25" s="153">
        <v>49799.88</v>
      </c>
      <c r="E25" s="153">
        <v>49042.68</v>
      </c>
      <c r="F25" s="153">
        <f>F40</f>
        <v>6613.4268</v>
      </c>
      <c r="G25" s="153">
        <f>E25-D25</f>
        <v>-757.1999999999971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1323123.48</v>
      </c>
      <c r="E27" s="147">
        <f>SUM(E28:E31)</f>
        <v>1287164.56</v>
      </c>
      <c r="F27" s="147">
        <f>SUM(F28:F31)</f>
        <v>1323123.48</v>
      </c>
      <c r="G27" s="147">
        <f>SUM(G28:G31)</f>
        <v>-35958.92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2317.44</v>
      </c>
      <c r="E28" s="68">
        <v>2291.89</v>
      </c>
      <c r="F28" s="68">
        <f>D28</f>
        <v>2317.44</v>
      </c>
      <c r="G28" s="68">
        <f>E28-D28</f>
        <v>-25.550000000000182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448957.96</v>
      </c>
      <c r="E29" s="68">
        <v>425239.71</v>
      </c>
      <c r="F29" s="68">
        <f>D29</f>
        <v>448957.96</v>
      </c>
      <c r="G29" s="68">
        <f>E29-D29</f>
        <v>-23718.25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871848.08</v>
      </c>
      <c r="E31" s="68">
        <v>859632.96</v>
      </c>
      <c r="F31" s="68">
        <f>D31</f>
        <v>871848.08</v>
      </c>
      <c r="G31" s="68">
        <f>E31-D31</f>
        <v>-12215.119999999995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D12+D17+D23+D24+D25+D26+D27-E17-E23-E24-E25-E26-E27</f>
        <v>172606.50999999978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56461.053199999995</v>
      </c>
      <c r="H35" s="40"/>
      <c r="I35" s="40"/>
    </row>
    <row r="36" spans="1:13" s="20" customFormat="1" ht="13.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3" s="20" customFormat="1" ht="27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SUM(F41:G43)</f>
        <v>6613.4268</v>
      </c>
      <c r="G40" s="291"/>
      <c r="H40" s="59"/>
      <c r="I40" s="60"/>
      <c r="J40" s="12"/>
      <c r="K40" s="12"/>
      <c r="N40" s="54"/>
    </row>
    <row r="41" spans="1:14" s="12" customFormat="1" ht="15">
      <c r="A41" s="9" t="s">
        <v>16</v>
      </c>
      <c r="B41" s="271" t="s">
        <v>672</v>
      </c>
      <c r="C41" s="273"/>
      <c r="D41" s="158" t="s">
        <v>234</v>
      </c>
      <c r="E41" s="158">
        <v>0.04</v>
      </c>
      <c r="F41" s="308">
        <v>1810</v>
      </c>
      <c r="G41" s="309"/>
      <c r="H41" s="61"/>
      <c r="I41" s="62"/>
      <c r="J41" s="23"/>
      <c r="K41" s="23"/>
      <c r="N41" s="55"/>
    </row>
    <row r="42" spans="1:14" ht="15">
      <c r="A42" s="9" t="s">
        <v>18</v>
      </c>
      <c r="B42" s="271" t="s">
        <v>705</v>
      </c>
      <c r="C42" s="273"/>
      <c r="D42" s="158" t="s">
        <v>233</v>
      </c>
      <c r="E42" s="158">
        <v>0.06</v>
      </c>
      <c r="F42" s="308">
        <v>4313</v>
      </c>
      <c r="G42" s="309"/>
      <c r="H42" s="90"/>
      <c r="I42" s="90"/>
      <c r="N42" s="56"/>
    </row>
    <row r="43" spans="1:7" s="25" customFormat="1" ht="15">
      <c r="A43" s="9" t="s">
        <v>20</v>
      </c>
      <c r="B43" s="306" t="s">
        <v>286</v>
      </c>
      <c r="C43" s="307"/>
      <c r="D43" s="199"/>
      <c r="E43" s="199"/>
      <c r="F43" s="296">
        <f>E25*1%</f>
        <v>490.4268</v>
      </c>
      <c r="G43" s="296"/>
    </row>
    <row r="44" spans="1:11" s="3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25" customFormat="1" ht="1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  <c r="H45" s="3"/>
      <c r="I45" s="3"/>
      <c r="J45" s="3"/>
      <c r="K45" s="3"/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10" s="25" customFormat="1" ht="15">
      <c r="A47" s="3" t="s">
        <v>50</v>
      </c>
      <c r="B47" s="3"/>
      <c r="C47" s="101"/>
      <c r="D47" s="3"/>
      <c r="E47" s="3"/>
      <c r="F47" s="3"/>
      <c r="G47" s="3"/>
      <c r="H47" s="34"/>
      <c r="I47" s="34"/>
      <c r="J47" s="34"/>
    </row>
    <row r="48" spans="1:7" s="25" customFormat="1" ht="15">
      <c r="A48" s="3"/>
      <c r="B48" s="3"/>
      <c r="C48" s="106" t="s">
        <v>51</v>
      </c>
      <c r="D48" s="3"/>
      <c r="E48" s="14"/>
      <c r="F48" s="14"/>
      <c r="G48" s="14"/>
    </row>
    <row r="49" spans="1:1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</sheetData>
  <sheetProtection/>
  <mergeCells count="20">
    <mergeCell ref="A10:K10"/>
    <mergeCell ref="A1:K1"/>
    <mergeCell ref="A2:K2"/>
    <mergeCell ref="A3:K3"/>
    <mergeCell ref="A5:K5"/>
    <mergeCell ref="A9:K9"/>
    <mergeCell ref="A11:K11"/>
    <mergeCell ref="A12:C12"/>
    <mergeCell ref="A33:C33"/>
    <mergeCell ref="A37:K37"/>
    <mergeCell ref="B39:C39"/>
    <mergeCell ref="F39:G39"/>
    <mergeCell ref="B43:C43"/>
    <mergeCell ref="F43:G43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217</v>
      </c>
      <c r="H7" s="26"/>
    </row>
    <row r="8" spans="1:8" s="25" customFormat="1" ht="12.75">
      <c r="A8" s="25" t="s">
        <v>3</v>
      </c>
      <c r="F8" s="26" t="s">
        <v>218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227</v>
      </c>
      <c r="B12" s="266"/>
      <c r="C12" s="266"/>
      <c r="D12" s="73">
        <v>565680.62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39157.92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598430.27</v>
      </c>
      <c r="E17" s="146">
        <v>576484.97</v>
      </c>
      <c r="F17" s="146">
        <f>D17</f>
        <v>598430.27</v>
      </c>
      <c r="G17" s="147">
        <f>E17-D17</f>
        <v>-21945.300000000047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206090.4245347594</v>
      </c>
      <c r="E18" s="67">
        <f>E17*I18</f>
        <v>198532.79180748665</v>
      </c>
      <c r="F18" s="67">
        <f>D18</f>
        <v>206090.4245347594</v>
      </c>
      <c r="G18" s="68">
        <f aca="true" t="shared" si="0" ref="G18:G26">E18-D18</f>
        <v>-7557.63272727275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97924.95327272727</v>
      </c>
      <c r="E19" s="67">
        <f>E17*I19</f>
        <v>94333.90418181817</v>
      </c>
      <c r="F19" s="67">
        <f>D19</f>
        <v>97924.95327272727</v>
      </c>
      <c r="G19" s="68">
        <f t="shared" si="0"/>
        <v>-3591.0490909091022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120966.11874866311</v>
      </c>
      <c r="E20" s="67">
        <f>E17*I20</f>
        <v>116530.11693048128</v>
      </c>
      <c r="F20" s="67">
        <f>D20</f>
        <v>120966.11874866311</v>
      </c>
      <c r="G20" s="68">
        <f t="shared" si="0"/>
        <v>-4436.0018181818305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173448.77344385028</v>
      </c>
      <c r="E21" s="67">
        <f>E17*I21</f>
        <v>167088.15708021392</v>
      </c>
      <c r="F21" s="67">
        <f>D21</f>
        <v>173448.77344385028</v>
      </c>
      <c r="G21" s="68">
        <f t="shared" si="0"/>
        <v>-6360.6163636363635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4.6</v>
      </c>
      <c r="D23" s="153">
        <v>0</v>
      </c>
      <c r="E23" s="153">
        <v>20175.38</v>
      </c>
      <c r="F23" s="153">
        <f>D23</f>
        <v>0</v>
      </c>
      <c r="G23" s="153">
        <f t="shared" si="0"/>
        <v>20175.38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1.92</v>
      </c>
      <c r="D25" s="153">
        <v>122842.87</v>
      </c>
      <c r="E25" s="153">
        <v>120915.27</v>
      </c>
      <c r="F25" s="153">
        <f>F40</f>
        <v>13997.2927</v>
      </c>
      <c r="G25" s="153">
        <f>E25-D25</f>
        <v>-1927.5999999999913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>
        <v>0</v>
      </c>
      <c r="D27" s="147">
        <f>SUM(D28:D31)</f>
        <v>3067535.01</v>
      </c>
      <c r="E27" s="147">
        <f>SUM(E28:E31)</f>
        <v>3050247.48</v>
      </c>
      <c r="F27" s="147">
        <f>SUM(F28:F31)</f>
        <v>3067535.01</v>
      </c>
      <c r="G27" s="147">
        <f>SUM(G28:G31)</f>
        <v>-17287.530000000013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9665.55</v>
      </c>
      <c r="E28" s="68">
        <v>9552.66</v>
      </c>
      <c r="F28" s="68">
        <f>D28</f>
        <v>9665.55</v>
      </c>
      <c r="G28" s="68">
        <f>E28-D28</f>
        <v>-112.88999999999942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466147.84</v>
      </c>
      <c r="E29" s="68">
        <v>456657.31</v>
      </c>
      <c r="F29" s="68">
        <f>D29</f>
        <v>466147.84</v>
      </c>
      <c r="G29" s="68">
        <f>E29-D29</f>
        <v>-9490.530000000028</v>
      </c>
    </row>
    <row r="30" spans="1:7" ht="15">
      <c r="A30" s="9" t="s">
        <v>42</v>
      </c>
      <c r="B30" s="9" t="s">
        <v>170</v>
      </c>
      <c r="C30" s="182" t="s">
        <v>342</v>
      </c>
      <c r="D30" s="68">
        <v>637872.76</v>
      </c>
      <c r="E30" s="68">
        <v>625153.64</v>
      </c>
      <c r="F30" s="68">
        <f>D30</f>
        <v>637872.76</v>
      </c>
      <c r="G30" s="68">
        <f>E30-D30</f>
        <v>-12719.119999999995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1953848.86</v>
      </c>
      <c r="E31" s="68">
        <v>1958883.87</v>
      </c>
      <c r="F31" s="68">
        <f>D31</f>
        <v>1953848.86</v>
      </c>
      <c r="G31" s="68">
        <f>E31-D31</f>
        <v>5035.010000000009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586665.6699999999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146075.8973</v>
      </c>
      <c r="H35" s="40"/>
      <c r="I35" s="40"/>
    </row>
    <row r="36" spans="1:11" s="20" customFormat="1" ht="13.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1" ht="31.5" customHeight="1">
      <c r="A37" s="267" t="s">
        <v>271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2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L39" s="54"/>
    </row>
    <row r="40" spans="1:12" s="12" customFormat="1" ht="15" customHeight="1">
      <c r="A40" s="11" t="s">
        <v>47</v>
      </c>
      <c r="B40" s="287" t="s">
        <v>126</v>
      </c>
      <c r="C40" s="288"/>
      <c r="D40" s="157"/>
      <c r="E40" s="157"/>
      <c r="F40" s="295">
        <f>SUM(F41:G45)</f>
        <v>13997.2927</v>
      </c>
      <c r="G40" s="291"/>
      <c r="H40" s="59"/>
      <c r="I40" s="60"/>
      <c r="L40" s="55"/>
    </row>
    <row r="41" spans="1:12" ht="15">
      <c r="A41" s="9" t="s">
        <v>16</v>
      </c>
      <c r="B41" s="271" t="s">
        <v>706</v>
      </c>
      <c r="C41" s="273"/>
      <c r="D41" s="158" t="s">
        <v>233</v>
      </c>
      <c r="E41" s="158">
        <v>0.01</v>
      </c>
      <c r="F41" s="308">
        <v>922.11</v>
      </c>
      <c r="G41" s="309"/>
      <c r="H41" s="61"/>
      <c r="I41" s="62"/>
      <c r="L41" s="56"/>
    </row>
    <row r="42" spans="1:12" ht="15">
      <c r="A42" s="9" t="s">
        <v>18</v>
      </c>
      <c r="B42" s="271" t="s">
        <v>707</v>
      </c>
      <c r="C42" s="273"/>
      <c r="D42" s="158" t="s">
        <v>233</v>
      </c>
      <c r="E42" s="158">
        <v>0.01</v>
      </c>
      <c r="F42" s="308">
        <v>1043.32</v>
      </c>
      <c r="G42" s="309"/>
      <c r="H42" s="90"/>
      <c r="I42" s="90"/>
      <c r="L42" s="56"/>
    </row>
    <row r="43" spans="1:9" ht="15">
      <c r="A43" s="9" t="s">
        <v>20</v>
      </c>
      <c r="B43" s="271" t="s">
        <v>708</v>
      </c>
      <c r="C43" s="273"/>
      <c r="D43" s="158" t="s">
        <v>233</v>
      </c>
      <c r="E43" s="158">
        <v>0.01</v>
      </c>
      <c r="F43" s="308">
        <v>366.49</v>
      </c>
      <c r="G43" s="309"/>
      <c r="H43" s="90"/>
      <c r="I43" s="90"/>
    </row>
    <row r="44" spans="1:11" s="25" customFormat="1" ht="15">
      <c r="A44" s="9" t="s">
        <v>22</v>
      </c>
      <c r="B44" s="271" t="s">
        <v>543</v>
      </c>
      <c r="C44" s="273"/>
      <c r="D44" s="158" t="s">
        <v>233</v>
      </c>
      <c r="E44" s="158">
        <v>1</v>
      </c>
      <c r="F44" s="308">
        <v>10456.22</v>
      </c>
      <c r="G44" s="309"/>
      <c r="H44" s="90"/>
      <c r="I44" s="90"/>
      <c r="J44" s="23"/>
      <c r="K44" s="23"/>
    </row>
    <row r="45" spans="1:11" s="3" customFormat="1" ht="15">
      <c r="A45" s="9" t="s">
        <v>24</v>
      </c>
      <c r="B45" s="306" t="s">
        <v>286</v>
      </c>
      <c r="C45" s="307"/>
      <c r="D45" s="199"/>
      <c r="E45" s="199"/>
      <c r="F45" s="296">
        <f>E25*1%</f>
        <v>1209.1527</v>
      </c>
      <c r="G45" s="296"/>
      <c r="H45" s="25"/>
      <c r="I45" s="25"/>
      <c r="J45" s="25"/>
      <c r="K45" s="25"/>
    </row>
    <row r="46" s="25" customFormat="1" ht="9" customHeight="1"/>
    <row r="47" spans="1:11" s="25" customFormat="1" ht="15">
      <c r="A47" s="3" t="s">
        <v>55</v>
      </c>
      <c r="B47" s="3"/>
      <c r="C47" s="101" t="s">
        <v>49</v>
      </c>
      <c r="D47" s="3"/>
      <c r="E47" s="3"/>
      <c r="F47" s="3" t="s">
        <v>102</v>
      </c>
      <c r="G47" s="3"/>
      <c r="H47" s="3"/>
      <c r="I47" s="3"/>
      <c r="J47" s="3"/>
      <c r="K47" s="3"/>
    </row>
    <row r="48" spans="1:7" s="25" customFormat="1" ht="15">
      <c r="A48" s="3"/>
      <c r="B48" s="3"/>
      <c r="C48" s="101"/>
      <c r="D48" s="3"/>
      <c r="E48" s="3"/>
      <c r="F48" s="4" t="s">
        <v>303</v>
      </c>
      <c r="G48" s="3"/>
    </row>
    <row r="49" spans="1:10" s="25" customFormat="1" ht="15">
      <c r="A49" s="3" t="s">
        <v>50</v>
      </c>
      <c r="B49" s="3"/>
      <c r="C49" s="101"/>
      <c r="D49" s="3"/>
      <c r="E49" s="3"/>
      <c r="F49" s="3"/>
      <c r="G49" s="3"/>
      <c r="H49" s="34"/>
      <c r="I49" s="34"/>
      <c r="J49" s="34"/>
    </row>
    <row r="50" spans="1:11" ht="15">
      <c r="A50" s="3"/>
      <c r="B50" s="3"/>
      <c r="C50" s="106" t="s">
        <v>51</v>
      </c>
      <c r="D50" s="3"/>
      <c r="E50" s="14"/>
      <c r="F50" s="14"/>
      <c r="G50" s="14"/>
      <c r="H50" s="25"/>
      <c r="I50" s="25"/>
      <c r="J50" s="25"/>
      <c r="K50" s="25"/>
    </row>
    <row r="51" spans="1:1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</sheetData>
  <sheetProtection/>
  <mergeCells count="24">
    <mergeCell ref="B45:C45"/>
    <mergeCell ref="F45:G45"/>
    <mergeCell ref="B43:C43"/>
    <mergeCell ref="F43:G43"/>
    <mergeCell ref="B44:C44"/>
    <mergeCell ref="F44:G44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2:C42"/>
    <mergeCell ref="F42:G42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43" sqref="A43"/>
    </sheetView>
  </sheetViews>
  <sheetFormatPr defaultColWidth="9.140625" defaultRowHeight="15" outlineLevelCol="1"/>
  <cols>
    <col min="1" max="1" width="5.421875" style="23" customWidth="1"/>
    <col min="2" max="2" width="48.8515625" style="23" customWidth="1"/>
    <col min="3" max="3" width="14.28125" style="23" customWidth="1"/>
    <col min="4" max="4" width="14.8515625" style="23" customWidth="1"/>
    <col min="5" max="6" width="13.140625" style="23" customWidth="1"/>
    <col min="7" max="7" width="14.57421875" style="23" customWidth="1"/>
    <col min="8" max="9" width="11.57421875" style="23" hidden="1" customWidth="1" outlineLevel="1"/>
    <col min="10" max="10" width="9.140625" style="23" customWidth="1" collapsed="1"/>
    <col min="11" max="16384" width="9.140625" style="23" customWidth="1"/>
  </cols>
  <sheetData>
    <row r="1" spans="1:9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</row>
    <row r="3" spans="1:9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</row>
    <row r="4" spans="1:9" ht="9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</row>
    <row r="7" spans="1:8" s="25" customFormat="1" ht="16.5" customHeight="1">
      <c r="A7" s="25" t="s">
        <v>2</v>
      </c>
      <c r="F7" s="26" t="s">
        <v>219</v>
      </c>
      <c r="H7" s="26"/>
    </row>
    <row r="8" spans="1:8" s="25" customFormat="1" ht="12.75">
      <c r="A8" s="25" t="s">
        <v>3</v>
      </c>
      <c r="F8" s="26" t="s">
        <v>220</v>
      </c>
      <c r="H8" s="26"/>
    </row>
    <row r="9" spans="1:9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</row>
    <row r="10" spans="1:9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</row>
    <row r="11" spans="1:9" s="25" customFormat="1" ht="15.75" customHeight="1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</row>
    <row r="12" spans="1:9" s="15" customFormat="1" ht="16.5" customHeight="1" thickBot="1">
      <c r="A12" s="265" t="s">
        <v>294</v>
      </c>
      <c r="B12" s="266"/>
      <c r="C12" s="266"/>
      <c r="D12" s="73">
        <v>32002.57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-4339.18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1" s="25" customFormat="1" ht="14.25">
      <c r="A17" s="163" t="s">
        <v>14</v>
      </c>
      <c r="B17" s="129" t="s">
        <v>15</v>
      </c>
      <c r="C17" s="198">
        <f>C18+C19+C20+C21</f>
        <v>8.43</v>
      </c>
      <c r="D17" s="146">
        <v>258083.12</v>
      </c>
      <c r="E17" s="146">
        <v>253885.59</v>
      </c>
      <c r="F17" s="146">
        <f aca="true" t="shared" si="0" ref="F17:F24">D17</f>
        <v>258083.12</v>
      </c>
      <c r="G17" s="147">
        <f>E17-D17</f>
        <v>-4197.529999999999</v>
      </c>
      <c r="H17" s="70">
        <f aca="true" t="shared" si="1" ref="H17:H22">C17</f>
        <v>8.43</v>
      </c>
      <c r="I17" s="149"/>
      <c r="J17" s="149"/>
      <c r="K17" s="149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98579.79198102017</v>
      </c>
      <c r="E18" s="67">
        <f>E17*I18</f>
        <v>96976.46498220641</v>
      </c>
      <c r="F18" s="67">
        <f t="shared" si="0"/>
        <v>98579.79198102017</v>
      </c>
      <c r="G18" s="68">
        <f aca="true" t="shared" si="2" ref="G18:G27">E18-D18</f>
        <v>-1603.3269988137617</v>
      </c>
      <c r="H18" s="70">
        <f t="shared" si="1"/>
        <v>3.22</v>
      </c>
      <c r="I18" s="32">
        <f>H18/H17</f>
        <v>0.38196915776986956</v>
      </c>
    </row>
    <row r="19" spans="1:9" s="25" customFormat="1" ht="15">
      <c r="A19" s="8" t="s">
        <v>18</v>
      </c>
      <c r="B19" s="9" t="s">
        <v>19</v>
      </c>
      <c r="C19" s="217">
        <v>1.43</v>
      </c>
      <c r="D19" s="67">
        <f>D17*I19</f>
        <v>43779.224389086594</v>
      </c>
      <c r="E19" s="67">
        <f>E17*I19</f>
        <v>43067.18786476868</v>
      </c>
      <c r="F19" s="67">
        <f t="shared" si="0"/>
        <v>43779.224389086594</v>
      </c>
      <c r="G19" s="68">
        <f t="shared" si="2"/>
        <v>-712.0365243179112</v>
      </c>
      <c r="H19" s="70">
        <f t="shared" si="1"/>
        <v>1.43</v>
      </c>
      <c r="I19" s="32">
        <f>H19/H17</f>
        <v>0.16963226571767498</v>
      </c>
    </row>
    <row r="20" spans="1:9" s="25" customFormat="1" ht="15">
      <c r="A20" s="8" t="s">
        <v>20</v>
      </c>
      <c r="B20" s="9" t="s">
        <v>21</v>
      </c>
      <c r="C20" s="217">
        <v>1.07</v>
      </c>
      <c r="D20" s="67">
        <f>D17*I20</f>
        <v>32757.88118623962</v>
      </c>
      <c r="E20" s="67">
        <f>E17*I20</f>
        <v>32225.098612099646</v>
      </c>
      <c r="F20" s="67">
        <f t="shared" si="0"/>
        <v>32757.88118623962</v>
      </c>
      <c r="G20" s="68">
        <f t="shared" si="2"/>
        <v>-532.7825741399756</v>
      </c>
      <c r="H20" s="70">
        <f t="shared" si="1"/>
        <v>1.07</v>
      </c>
      <c r="I20" s="32">
        <f>H20/H17</f>
        <v>0.1269276393831554</v>
      </c>
    </row>
    <row r="21" spans="1:9" s="25" customFormat="1" ht="14.25" customHeight="1">
      <c r="A21" s="8" t="s">
        <v>22</v>
      </c>
      <c r="B21" s="9" t="s">
        <v>23</v>
      </c>
      <c r="C21" s="217">
        <v>2.71</v>
      </c>
      <c r="D21" s="67">
        <f>D17*I21</f>
        <v>82966.22244365362</v>
      </c>
      <c r="E21" s="67">
        <f>E17*I21</f>
        <v>81616.83854092527</v>
      </c>
      <c r="F21" s="67">
        <f t="shared" si="0"/>
        <v>82966.22244365362</v>
      </c>
      <c r="G21" s="68">
        <f t="shared" si="2"/>
        <v>-1349.3839027283539</v>
      </c>
      <c r="H21" s="70">
        <f t="shared" si="1"/>
        <v>2.71</v>
      </c>
      <c r="I21" s="32">
        <f>H21/H17</f>
        <v>0.32147093712930014</v>
      </c>
    </row>
    <row r="22" spans="1:9" s="25" customFormat="1" ht="14.25" customHeight="1">
      <c r="A22" s="8" t="s">
        <v>24</v>
      </c>
      <c r="B22" s="9" t="s">
        <v>272</v>
      </c>
      <c r="C22" s="92">
        <v>2.51</v>
      </c>
      <c r="D22" s="67">
        <v>76843.35</v>
      </c>
      <c r="E22" s="67">
        <v>72938.56</v>
      </c>
      <c r="F22" s="67">
        <f>D22</f>
        <v>76843.35</v>
      </c>
      <c r="G22" s="68">
        <f>E22-D22</f>
        <v>-3904.790000000008</v>
      </c>
      <c r="H22" s="70">
        <f t="shared" si="1"/>
        <v>2.51</v>
      </c>
      <c r="I22" s="32"/>
    </row>
    <row r="23" spans="1:11" s="72" customFormat="1" ht="14.25">
      <c r="A23" s="191" t="s">
        <v>25</v>
      </c>
      <c r="B23" s="191" t="s">
        <v>26</v>
      </c>
      <c r="C23" s="176">
        <v>3.58</v>
      </c>
      <c r="D23" s="153">
        <v>109320.84</v>
      </c>
      <c r="E23" s="153">
        <v>106930.44</v>
      </c>
      <c r="F23" s="153">
        <f t="shared" si="0"/>
        <v>109320.84</v>
      </c>
      <c r="G23" s="153">
        <f t="shared" si="2"/>
        <v>-2390.399999999994</v>
      </c>
      <c r="H23" s="154"/>
      <c r="I23" s="154"/>
      <c r="J23" s="154"/>
      <c r="K23" s="154"/>
    </row>
    <row r="24" spans="1:11" s="72" customFormat="1" ht="14.25">
      <c r="A24" s="191" t="s">
        <v>27</v>
      </c>
      <c r="B24" s="191" t="s">
        <v>28</v>
      </c>
      <c r="C24" s="176">
        <v>4.6</v>
      </c>
      <c r="D24" s="153">
        <v>0</v>
      </c>
      <c r="E24" s="153">
        <v>4300.91</v>
      </c>
      <c r="F24" s="153">
        <f t="shared" si="0"/>
        <v>0</v>
      </c>
      <c r="G24" s="153">
        <f t="shared" si="2"/>
        <v>4300.91</v>
      </c>
      <c r="H24" s="154"/>
      <c r="I24" s="154"/>
      <c r="J24" s="154"/>
      <c r="K24" s="154"/>
    </row>
    <row r="25" spans="1:11" s="72" customFormat="1" ht="14.25">
      <c r="A25" s="191" t="s">
        <v>29</v>
      </c>
      <c r="B25" s="191" t="s">
        <v>230</v>
      </c>
      <c r="C25" s="176">
        <v>38.17</v>
      </c>
      <c r="D25" s="153">
        <v>458.18</v>
      </c>
      <c r="E25" s="153">
        <v>448.13</v>
      </c>
      <c r="F25" s="153">
        <f>D25</f>
        <v>458.18</v>
      </c>
      <c r="G25" s="153">
        <f t="shared" si="2"/>
        <v>-10.050000000000011</v>
      </c>
      <c r="H25" s="154"/>
      <c r="I25" s="154"/>
      <c r="J25" s="154"/>
      <c r="K25" s="154"/>
    </row>
    <row r="26" spans="1:11" s="72" customFormat="1" ht="14.25">
      <c r="A26" s="191" t="s">
        <v>31</v>
      </c>
      <c r="B26" s="191" t="s">
        <v>131</v>
      </c>
      <c r="C26" s="206" t="s">
        <v>343</v>
      </c>
      <c r="D26" s="153">
        <v>47350.84</v>
      </c>
      <c r="E26" s="153">
        <v>46303.71</v>
      </c>
      <c r="F26" s="153">
        <f>F41</f>
        <v>463.0371</v>
      </c>
      <c r="G26" s="153">
        <f>E26-D26</f>
        <v>-1047.1299999999974</v>
      </c>
      <c r="H26" s="154"/>
      <c r="I26" s="154"/>
      <c r="J26" s="154"/>
      <c r="K26" s="154"/>
    </row>
    <row r="27" spans="1:11" ht="14.25">
      <c r="A27" s="129" t="s">
        <v>33</v>
      </c>
      <c r="B27" s="129" t="s">
        <v>34</v>
      </c>
      <c r="C27" s="175">
        <v>0</v>
      </c>
      <c r="D27" s="147">
        <v>0</v>
      </c>
      <c r="E27" s="147">
        <v>0</v>
      </c>
      <c r="F27" s="153">
        <v>0</v>
      </c>
      <c r="G27" s="147">
        <f t="shared" si="2"/>
        <v>0</v>
      </c>
      <c r="H27" s="37"/>
      <c r="I27" s="37"/>
      <c r="J27" s="37"/>
      <c r="K27" s="37"/>
    </row>
    <row r="28" spans="1:11" ht="14.25">
      <c r="A28" s="129" t="s">
        <v>35</v>
      </c>
      <c r="B28" s="129" t="s">
        <v>36</v>
      </c>
      <c r="C28" s="175">
        <v>0</v>
      </c>
      <c r="D28" s="147">
        <f>SUM(D29:D32)</f>
        <v>238150.99000000002</v>
      </c>
      <c r="E28" s="147">
        <f>SUM(E29:E32)</f>
        <v>229515.13</v>
      </c>
      <c r="F28" s="147">
        <f>SUM(F29:F32)</f>
        <v>238150.99000000002</v>
      </c>
      <c r="G28" s="147">
        <f>SUM(G29:G32)</f>
        <v>-8635.860000000015</v>
      </c>
      <c r="H28" s="37"/>
      <c r="I28" s="37"/>
      <c r="J28" s="37"/>
      <c r="K28" s="37"/>
    </row>
    <row r="29" spans="1:7" ht="15">
      <c r="A29" s="9" t="s">
        <v>37</v>
      </c>
      <c r="B29" s="9" t="s">
        <v>235</v>
      </c>
      <c r="C29" s="134" t="s">
        <v>315</v>
      </c>
      <c r="D29" s="68">
        <v>48060.73</v>
      </c>
      <c r="E29" s="68">
        <v>47030.48</v>
      </c>
      <c r="F29" s="68">
        <f>D29</f>
        <v>48060.73</v>
      </c>
      <c r="G29" s="68">
        <f>E29-D29</f>
        <v>-1030.25</v>
      </c>
    </row>
    <row r="30" spans="1:7" ht="15">
      <c r="A30" s="9" t="s">
        <v>39</v>
      </c>
      <c r="B30" s="9" t="s">
        <v>168</v>
      </c>
      <c r="C30" s="134" t="s">
        <v>314</v>
      </c>
      <c r="D30" s="68">
        <v>190090.26</v>
      </c>
      <c r="E30" s="68">
        <v>182484.65</v>
      </c>
      <c r="F30" s="68">
        <f>D30</f>
        <v>190090.26</v>
      </c>
      <c r="G30" s="68">
        <f>E30-D30</f>
        <v>-7605.610000000015</v>
      </c>
    </row>
    <row r="31" spans="1:7" ht="15">
      <c r="A31" s="9" t="s">
        <v>42</v>
      </c>
      <c r="B31" s="9" t="s">
        <v>170</v>
      </c>
      <c r="C31" s="182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7" ht="15">
      <c r="A32" s="9" t="s">
        <v>41</v>
      </c>
      <c r="B32" s="9" t="s">
        <v>43</v>
      </c>
      <c r="C32" s="134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s="20" customFormat="1" ht="8.25" customHeight="1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D12+D17+D24+D25+D26+D27+D28+D23+D22-E22-E17-E24-E25-E26-E27-E28-E23</f>
        <v>47887.41999999987</v>
      </c>
      <c r="E34" s="39"/>
      <c r="F34" s="39"/>
      <c r="G34" s="39"/>
      <c r="H34" s="40"/>
      <c r="I34" s="40"/>
    </row>
    <row r="35" spans="1:9" s="15" customFormat="1" ht="9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G14+E26-F26</f>
        <v>41501.4929</v>
      </c>
      <c r="H36" s="40"/>
      <c r="I36" s="40"/>
    </row>
    <row r="37" spans="1:11" s="20" customFormat="1" ht="13.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1" ht="28.5" customHeight="1">
      <c r="A38" s="267" t="s">
        <v>271</v>
      </c>
      <c r="B38" s="267"/>
      <c r="C38" s="267"/>
      <c r="D38" s="267"/>
      <c r="E38" s="267"/>
      <c r="F38" s="267"/>
      <c r="G38" s="267"/>
      <c r="H38" s="160"/>
      <c r="I38" s="160"/>
      <c r="J38" s="160"/>
      <c r="K38" s="160"/>
    </row>
    <row r="40" spans="1:7" s="18" customFormat="1" ht="28.5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</row>
    <row r="41" spans="1:7" s="12" customFormat="1" ht="15">
      <c r="A41" s="11" t="s">
        <v>47</v>
      </c>
      <c r="B41" s="287" t="s">
        <v>126</v>
      </c>
      <c r="C41" s="288"/>
      <c r="D41" s="157"/>
      <c r="E41" s="157"/>
      <c r="F41" s="295">
        <f>SUM(F42:G42)</f>
        <v>463.0371</v>
      </c>
      <c r="G41" s="291"/>
    </row>
    <row r="42" spans="1:9" s="25" customFormat="1" ht="15">
      <c r="A42" s="9" t="s">
        <v>16</v>
      </c>
      <c r="B42" s="306" t="s">
        <v>286</v>
      </c>
      <c r="C42" s="307"/>
      <c r="D42" s="199"/>
      <c r="E42" s="199"/>
      <c r="F42" s="296">
        <f>E26*1%</f>
        <v>463.0371</v>
      </c>
      <c r="G42" s="296"/>
      <c r="H42" s="23"/>
      <c r="I42" s="23"/>
    </row>
    <row r="43" s="25" customFormat="1" ht="12.75"/>
    <row r="44" spans="1:11" s="25" customFormat="1" ht="1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  <c r="J44" s="3"/>
      <c r="K44" s="3"/>
    </row>
    <row r="45" spans="1:11" ht="15">
      <c r="A45" s="3"/>
      <c r="B45" s="3"/>
      <c r="C45" s="101"/>
      <c r="D45" s="3"/>
      <c r="E45" s="3"/>
      <c r="F45" s="4" t="s">
        <v>303</v>
      </c>
      <c r="G45" s="3"/>
      <c r="H45" s="25"/>
      <c r="I45" s="25"/>
      <c r="J45" s="25"/>
      <c r="K45" s="25"/>
    </row>
    <row r="46" spans="1:11" ht="1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  <c r="K46" s="25"/>
    </row>
    <row r="47" spans="1:11" ht="15">
      <c r="A47" s="3"/>
      <c r="B47" s="3"/>
      <c r="C47" s="106" t="s">
        <v>51</v>
      </c>
      <c r="D47" s="3"/>
      <c r="E47" s="14"/>
      <c r="F47" s="14"/>
      <c r="G47" s="14"/>
      <c r="H47" s="25"/>
      <c r="I47" s="25"/>
      <c r="J47" s="25"/>
      <c r="K47" s="25"/>
    </row>
  </sheetData>
  <sheetProtection/>
  <mergeCells count="16">
    <mergeCell ref="A12:C12"/>
    <mergeCell ref="A34:C34"/>
    <mergeCell ref="B40:C40"/>
    <mergeCell ref="F40:G40"/>
    <mergeCell ref="B42:C42"/>
    <mergeCell ref="F42:G42"/>
    <mergeCell ref="B41:C41"/>
    <mergeCell ref="F41:G41"/>
    <mergeCell ref="A38:G38"/>
    <mergeCell ref="A11:I11"/>
    <mergeCell ref="A10:I10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6" sqref="G26"/>
    </sheetView>
  </sheetViews>
  <sheetFormatPr defaultColWidth="9.140625" defaultRowHeight="15" outlineLevelCol="1"/>
  <cols>
    <col min="1" max="1" width="6.00390625" style="23" customWidth="1"/>
    <col min="2" max="2" width="52.140625" style="23" customWidth="1"/>
    <col min="3" max="3" width="12.281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00390625" style="23" bestFit="1" customWidth="1" collapsed="1"/>
    <col min="11" max="11" width="15.8515625" style="23" customWidth="1"/>
    <col min="12" max="16384" width="9.140625" style="23" customWidth="1"/>
  </cols>
  <sheetData>
    <row r="1" spans="1:9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</row>
    <row r="3" spans="1:9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</row>
    <row r="4" spans="1:9" ht="9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</row>
    <row r="7" spans="1:8" s="25" customFormat="1" ht="16.5" customHeight="1">
      <c r="A7" s="25" t="s">
        <v>2</v>
      </c>
      <c r="F7" s="26" t="s">
        <v>221</v>
      </c>
      <c r="H7" s="26"/>
    </row>
    <row r="8" spans="1:8" s="25" customFormat="1" ht="12.75">
      <c r="A8" s="25" t="s">
        <v>3</v>
      </c>
      <c r="F8" s="26" t="s">
        <v>222</v>
      </c>
      <c r="H8" s="26"/>
    </row>
    <row r="9" spans="1:9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</row>
    <row r="10" spans="1:9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</row>
    <row r="11" spans="1:9" s="25" customFormat="1" ht="15.75" customHeight="1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</row>
    <row r="12" spans="1:9" s="15" customFormat="1" ht="16.5" customHeight="1" thickBot="1">
      <c r="A12" s="265" t="s">
        <v>294</v>
      </c>
      <c r="B12" s="266"/>
      <c r="C12" s="266"/>
      <c r="D12" s="73">
        <v>19997.96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9148.15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1" s="25" customFormat="1" ht="14.25">
      <c r="A17" s="163" t="s">
        <v>14</v>
      </c>
      <c r="B17" s="129" t="s">
        <v>15</v>
      </c>
      <c r="C17" s="198">
        <f>C18+C19+C20+C21</f>
        <v>8.43</v>
      </c>
      <c r="D17" s="146">
        <v>291361.2</v>
      </c>
      <c r="E17" s="146">
        <v>295381.69</v>
      </c>
      <c r="F17" s="146">
        <f aca="true" t="shared" si="0" ref="F17:F23">D17</f>
        <v>291361.2</v>
      </c>
      <c r="G17" s="147">
        <f>E17-D17</f>
        <v>4020.4899999999907</v>
      </c>
      <c r="H17" s="143">
        <f aca="true" t="shared" si="1" ref="H17:H22">C17</f>
        <v>8.43</v>
      </c>
      <c r="I17" s="32"/>
      <c r="J17" s="70"/>
      <c r="K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111290.99217081853</v>
      </c>
      <c r="E18" s="67">
        <f>E17*I18</f>
        <v>112826.69534994071</v>
      </c>
      <c r="F18" s="67">
        <f t="shared" si="0"/>
        <v>111290.99217081853</v>
      </c>
      <c r="G18" s="68">
        <f aca="true" t="shared" si="2" ref="G18:G27">E18-D18</f>
        <v>1535.7031791221816</v>
      </c>
      <c r="H18" s="143">
        <f t="shared" si="1"/>
        <v>3.22</v>
      </c>
      <c r="I18" s="32">
        <f>H18/H17</f>
        <v>0.38196915776986956</v>
      </c>
    </row>
    <row r="19" spans="1:9" s="25" customFormat="1" ht="15">
      <c r="A19" s="8" t="s">
        <v>18</v>
      </c>
      <c r="B19" s="9" t="s">
        <v>19</v>
      </c>
      <c r="C19" s="217">
        <v>1.43</v>
      </c>
      <c r="D19" s="67">
        <f>D17*I19</f>
        <v>49424.26049822065</v>
      </c>
      <c r="E19" s="67">
        <f>E17*I19</f>
        <v>50106.2653262159</v>
      </c>
      <c r="F19" s="67">
        <f t="shared" si="0"/>
        <v>49424.26049822065</v>
      </c>
      <c r="G19" s="68">
        <f t="shared" si="2"/>
        <v>682.0048279952534</v>
      </c>
      <c r="H19" s="143">
        <f t="shared" si="1"/>
        <v>1.43</v>
      </c>
      <c r="I19" s="32">
        <f>H19/H17</f>
        <v>0.16963226571767498</v>
      </c>
    </row>
    <row r="20" spans="1:9" s="25" customFormat="1" ht="15">
      <c r="A20" s="8" t="s">
        <v>20</v>
      </c>
      <c r="B20" s="9" t="s">
        <v>21</v>
      </c>
      <c r="C20" s="217">
        <v>1.07</v>
      </c>
      <c r="D20" s="67">
        <f>D17*I20</f>
        <v>36981.78932384342</v>
      </c>
      <c r="E20" s="67">
        <f>E17*I20</f>
        <v>37492.100628707005</v>
      </c>
      <c r="F20" s="67">
        <f t="shared" si="0"/>
        <v>36981.78932384342</v>
      </c>
      <c r="G20" s="68">
        <f t="shared" si="2"/>
        <v>510.311304863586</v>
      </c>
      <c r="H20" s="143">
        <f t="shared" si="1"/>
        <v>1.07</v>
      </c>
      <c r="I20" s="32">
        <f>H20/H17</f>
        <v>0.1269276393831554</v>
      </c>
    </row>
    <row r="21" spans="1:9" s="25" customFormat="1" ht="15">
      <c r="A21" s="8" t="s">
        <v>22</v>
      </c>
      <c r="B21" s="9" t="s">
        <v>23</v>
      </c>
      <c r="C21" s="217">
        <v>2.71</v>
      </c>
      <c r="D21" s="67">
        <f>D17*I21</f>
        <v>93664.15800711745</v>
      </c>
      <c r="E21" s="67">
        <f>E17*I21</f>
        <v>94956.62869513643</v>
      </c>
      <c r="F21" s="67">
        <f t="shared" si="0"/>
        <v>93664.15800711745</v>
      </c>
      <c r="G21" s="68">
        <f t="shared" si="2"/>
        <v>1292.470688018977</v>
      </c>
      <c r="H21" s="143">
        <f t="shared" si="1"/>
        <v>2.71</v>
      </c>
      <c r="I21" s="32">
        <f>H21/H17</f>
        <v>0.32147093712930014</v>
      </c>
    </row>
    <row r="22" spans="1:9" s="25" customFormat="1" ht="15">
      <c r="A22" s="8" t="s">
        <v>24</v>
      </c>
      <c r="B22" s="9" t="s">
        <v>272</v>
      </c>
      <c r="C22" s="92">
        <v>2.51</v>
      </c>
      <c r="D22" s="67">
        <v>86751.98</v>
      </c>
      <c r="E22" s="67">
        <v>85794.42</v>
      </c>
      <c r="F22" s="67">
        <f t="shared" si="0"/>
        <v>86751.98</v>
      </c>
      <c r="G22" s="68">
        <f t="shared" si="2"/>
        <v>-957.5599999999977</v>
      </c>
      <c r="H22" s="143">
        <f t="shared" si="1"/>
        <v>2.51</v>
      </c>
      <c r="I22" s="32"/>
    </row>
    <row r="23" spans="1:7" s="72" customFormat="1" ht="14.25">
      <c r="A23" s="191" t="s">
        <v>25</v>
      </c>
      <c r="B23" s="191" t="s">
        <v>26</v>
      </c>
      <c r="C23" s="176">
        <v>3.58</v>
      </c>
      <c r="D23" s="153">
        <v>123733.2</v>
      </c>
      <c r="E23" s="153">
        <v>125286.56</v>
      </c>
      <c r="F23" s="153">
        <f t="shared" si="0"/>
        <v>123733.2</v>
      </c>
      <c r="G23" s="153">
        <f t="shared" si="2"/>
        <v>1553.3600000000006</v>
      </c>
    </row>
    <row r="24" spans="1:7" s="72" customFormat="1" ht="14.25">
      <c r="A24" s="191" t="s">
        <v>27</v>
      </c>
      <c r="B24" s="191" t="s">
        <v>28</v>
      </c>
      <c r="C24" s="176">
        <v>4.6</v>
      </c>
      <c r="D24" s="153">
        <v>0</v>
      </c>
      <c r="E24" s="153">
        <v>5303.54</v>
      </c>
      <c r="F24" s="153">
        <f>D24</f>
        <v>0</v>
      </c>
      <c r="G24" s="153">
        <f t="shared" si="2"/>
        <v>5303.54</v>
      </c>
    </row>
    <row r="25" spans="1:7" s="72" customFormat="1" ht="14.25">
      <c r="A25" s="191" t="s">
        <v>29</v>
      </c>
      <c r="B25" s="191" t="s">
        <v>230</v>
      </c>
      <c r="C25" s="176">
        <v>38.17</v>
      </c>
      <c r="D25" s="153">
        <v>458.16</v>
      </c>
      <c r="E25" s="153">
        <v>458.16</v>
      </c>
      <c r="F25" s="208">
        <f>D25</f>
        <v>458.16</v>
      </c>
      <c r="G25" s="153">
        <f t="shared" si="2"/>
        <v>0</v>
      </c>
    </row>
    <row r="26" spans="1:7" s="72" customFormat="1" ht="14.25">
      <c r="A26" s="191" t="s">
        <v>31</v>
      </c>
      <c r="B26" s="191" t="s">
        <v>131</v>
      </c>
      <c r="C26" s="206" t="s">
        <v>343</v>
      </c>
      <c r="D26" s="153">
        <v>53456.36</v>
      </c>
      <c r="E26" s="153">
        <v>53982.52</v>
      </c>
      <c r="F26" s="153">
        <f>F41</f>
        <v>3399.2752</v>
      </c>
      <c r="G26" s="153">
        <f>E26-D26</f>
        <v>526.1599999999962</v>
      </c>
    </row>
    <row r="27" spans="1:7" ht="14.25">
      <c r="A27" s="129" t="s">
        <v>33</v>
      </c>
      <c r="B27" s="129" t="s">
        <v>34</v>
      </c>
      <c r="C27" s="175">
        <v>0</v>
      </c>
      <c r="D27" s="147">
        <v>0</v>
      </c>
      <c r="E27" s="147">
        <v>0</v>
      </c>
      <c r="F27" s="153">
        <v>0</v>
      </c>
      <c r="G27" s="147">
        <f t="shared" si="2"/>
        <v>0</v>
      </c>
    </row>
    <row r="28" spans="1:7" ht="14.25">
      <c r="A28" s="129" t="s">
        <v>35</v>
      </c>
      <c r="B28" s="129" t="s">
        <v>36</v>
      </c>
      <c r="C28" s="175">
        <v>0</v>
      </c>
      <c r="D28" s="147">
        <f>SUM(D29:D32)</f>
        <v>316210.33</v>
      </c>
      <c r="E28" s="147">
        <f>SUM(E29:E32)</f>
        <v>312256.08999999997</v>
      </c>
      <c r="F28" s="147">
        <f>SUM(F29:F32)</f>
        <v>316210.33</v>
      </c>
      <c r="G28" s="147">
        <f>SUM(G29:G32)</f>
        <v>-3954.2400000000125</v>
      </c>
    </row>
    <row r="29" spans="1:7" ht="15">
      <c r="A29" s="9" t="s">
        <v>37</v>
      </c>
      <c r="B29" s="9" t="s">
        <v>235</v>
      </c>
      <c r="C29" s="134" t="s">
        <v>315</v>
      </c>
      <c r="D29" s="68">
        <v>63064.88</v>
      </c>
      <c r="E29" s="68">
        <v>63783.47</v>
      </c>
      <c r="F29" s="68">
        <f>D29</f>
        <v>63064.88</v>
      </c>
      <c r="G29" s="68">
        <f>E29-D29</f>
        <v>718.5900000000038</v>
      </c>
    </row>
    <row r="30" spans="1:7" ht="15">
      <c r="A30" s="9" t="s">
        <v>39</v>
      </c>
      <c r="B30" s="9" t="s">
        <v>168</v>
      </c>
      <c r="C30" s="134" t="s">
        <v>314</v>
      </c>
      <c r="D30" s="68">
        <v>253145.45</v>
      </c>
      <c r="E30" s="68">
        <v>248472.62</v>
      </c>
      <c r="F30" s="68">
        <f>D30</f>
        <v>253145.45</v>
      </c>
      <c r="G30" s="68">
        <f>E30-D30</f>
        <v>-4672.830000000016</v>
      </c>
    </row>
    <row r="31" spans="1:7" ht="15">
      <c r="A31" s="9" t="s">
        <v>42</v>
      </c>
      <c r="B31" s="9" t="s">
        <v>170</v>
      </c>
      <c r="C31" s="182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7" ht="15">
      <c r="A32" s="9" t="s">
        <v>41</v>
      </c>
      <c r="B32" s="9" t="s">
        <v>43</v>
      </c>
      <c r="C32" s="134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s="20" customFormat="1" ht="14.25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D12+D17+D24+D25+D26+D27+D28+D23+D22-E22-E17-E24-E25-E26-E27-E28-E23</f>
        <v>13506.209999999963</v>
      </c>
      <c r="E34" s="39"/>
      <c r="F34" s="39"/>
      <c r="G34" s="39"/>
      <c r="H34" s="40"/>
      <c r="I34" s="40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G14+E26-F26</f>
        <v>59731.394799999995</v>
      </c>
      <c r="H36" s="40"/>
      <c r="I36" s="40"/>
    </row>
    <row r="37" spans="1:9" s="20" customFormat="1" ht="13.5">
      <c r="A37" s="21"/>
      <c r="B37" s="21"/>
      <c r="C37" s="21"/>
      <c r="D37" s="21"/>
      <c r="E37" s="22"/>
      <c r="F37" s="22"/>
      <c r="G37" s="22"/>
      <c r="H37" s="22"/>
      <c r="I37" s="22"/>
    </row>
    <row r="38" spans="1:9" ht="26.25" customHeight="1">
      <c r="A38" s="267" t="s">
        <v>271</v>
      </c>
      <c r="B38" s="267"/>
      <c r="C38" s="267"/>
      <c r="D38" s="267"/>
      <c r="E38" s="267"/>
      <c r="F38" s="267"/>
      <c r="G38" s="267"/>
      <c r="H38" s="160"/>
      <c r="I38" s="160"/>
    </row>
    <row r="40" spans="1:7" s="18" customFormat="1" ht="28.5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</row>
    <row r="41" spans="1:7" s="12" customFormat="1" ht="15">
      <c r="A41" s="11" t="s">
        <v>47</v>
      </c>
      <c r="B41" s="287" t="s">
        <v>126</v>
      </c>
      <c r="C41" s="288"/>
      <c r="D41" s="157"/>
      <c r="E41" s="157"/>
      <c r="F41" s="295">
        <f>SUM(F42:G43)</f>
        <v>3399.2752</v>
      </c>
      <c r="G41" s="291"/>
    </row>
    <row r="42" spans="1:7" ht="15">
      <c r="A42" s="9" t="s">
        <v>16</v>
      </c>
      <c r="B42" s="271" t="s">
        <v>492</v>
      </c>
      <c r="C42" s="273"/>
      <c r="D42" s="158" t="s">
        <v>234</v>
      </c>
      <c r="E42" s="158">
        <v>0.01</v>
      </c>
      <c r="F42" s="308">
        <v>2859.45</v>
      </c>
      <c r="G42" s="309"/>
    </row>
    <row r="43" spans="1:7" ht="15">
      <c r="A43" s="9" t="s">
        <v>18</v>
      </c>
      <c r="B43" s="306" t="s">
        <v>286</v>
      </c>
      <c r="C43" s="307"/>
      <c r="D43" s="199"/>
      <c r="E43" s="199"/>
      <c r="F43" s="296">
        <f>E26*1%</f>
        <v>539.8252</v>
      </c>
      <c r="G43" s="296"/>
    </row>
    <row r="44" spans="1:7" ht="15">
      <c r="A44" s="49"/>
      <c r="B44" s="51"/>
      <c r="C44" s="51"/>
      <c r="D44" s="207"/>
      <c r="E44" s="207"/>
      <c r="F44" s="52"/>
      <c r="G44" s="52"/>
    </row>
    <row r="45" spans="1:7" ht="1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</row>
    <row r="46" spans="1:7" ht="15">
      <c r="A46" s="3"/>
      <c r="B46" s="3"/>
      <c r="C46" s="101"/>
      <c r="D46" s="3"/>
      <c r="E46" s="3"/>
      <c r="F46" s="4" t="s">
        <v>303</v>
      </c>
      <c r="G46" s="3"/>
    </row>
    <row r="47" spans="1:7" ht="15">
      <c r="A47" s="3" t="s">
        <v>50</v>
      </c>
      <c r="B47" s="3"/>
      <c r="C47" s="101"/>
      <c r="D47" s="3"/>
      <c r="E47" s="3"/>
      <c r="F47" s="3"/>
      <c r="G47" s="3"/>
    </row>
    <row r="48" spans="1:7" ht="15">
      <c r="A48" s="3"/>
      <c r="B48" s="3"/>
      <c r="C48" s="106" t="s">
        <v>51</v>
      </c>
      <c r="D48" s="3"/>
      <c r="E48" s="14"/>
      <c r="F48" s="14"/>
      <c r="G48" s="14"/>
    </row>
  </sheetData>
  <sheetProtection/>
  <mergeCells count="18">
    <mergeCell ref="B43:C43"/>
    <mergeCell ref="F43:G43"/>
    <mergeCell ref="B42:C42"/>
    <mergeCell ref="F42:G42"/>
    <mergeCell ref="A10:I10"/>
    <mergeCell ref="A11:I11"/>
    <mergeCell ref="A12:C12"/>
    <mergeCell ref="A34:C34"/>
    <mergeCell ref="A38:G38"/>
    <mergeCell ref="B40:C40"/>
    <mergeCell ref="B41:C41"/>
    <mergeCell ref="F41:G41"/>
    <mergeCell ref="F40:G40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F40" sqref="F40:G40"/>
    </sheetView>
  </sheetViews>
  <sheetFormatPr defaultColWidth="9.140625" defaultRowHeight="15" outlineLevelCol="1"/>
  <cols>
    <col min="1" max="1" width="5.57421875" style="23" customWidth="1"/>
    <col min="2" max="2" width="51.8515625" style="23" customWidth="1"/>
    <col min="3" max="3" width="15.7109375" style="23" customWidth="1"/>
    <col min="4" max="4" width="14.8515625" style="23" customWidth="1"/>
    <col min="5" max="5" width="13.28125" style="23" customWidth="1"/>
    <col min="6" max="6" width="12.8515625" style="23" customWidth="1"/>
    <col min="7" max="7" width="14.57421875" style="23" customWidth="1"/>
    <col min="8" max="9" width="11.57421875" style="23" hidden="1" customWidth="1" outlineLevel="1"/>
    <col min="10" max="10" width="15.8515625" style="23" customWidth="1" collapsed="1"/>
    <col min="11" max="16384" width="9.140625" style="23" customWidth="1"/>
  </cols>
  <sheetData>
    <row r="1" spans="1:9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</row>
    <row r="3" spans="1:9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</row>
    <row r="4" spans="1:9" ht="9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</row>
    <row r="7" spans="1:8" s="25" customFormat="1" ht="16.5" customHeight="1">
      <c r="A7" s="25" t="s">
        <v>2</v>
      </c>
      <c r="F7" s="26" t="s">
        <v>639</v>
      </c>
      <c r="H7" s="26"/>
    </row>
    <row r="8" spans="1:8" s="25" customFormat="1" ht="12.75">
      <c r="A8" s="25" t="s">
        <v>3</v>
      </c>
      <c r="F8" s="26" t="s">
        <v>273</v>
      </c>
      <c r="H8" s="26"/>
    </row>
    <row r="9" spans="1:9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</row>
    <row r="10" spans="1:9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</row>
    <row r="11" spans="1:9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</row>
    <row r="12" spans="1:9" s="15" customFormat="1" ht="16.5" customHeight="1" thickBot="1">
      <c r="A12" s="265" t="s">
        <v>227</v>
      </c>
      <c r="B12" s="266"/>
      <c r="C12" s="266"/>
      <c r="D12" s="73">
        <v>55385.44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229</v>
      </c>
      <c r="B14" s="43"/>
      <c r="C14" s="43"/>
      <c r="D14" s="44"/>
      <c r="E14" s="45"/>
      <c r="F14" s="45"/>
      <c r="G14" s="73">
        <v>27783.07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0" s="25" customFormat="1" ht="14.25">
      <c r="A17" s="163" t="s">
        <v>14</v>
      </c>
      <c r="B17" s="129" t="s">
        <v>15</v>
      </c>
      <c r="C17" s="208">
        <f>C18+C19+C20+C21</f>
        <v>8.43</v>
      </c>
      <c r="D17" s="146">
        <v>286460.44</v>
      </c>
      <c r="E17" s="146">
        <v>274017.04</v>
      </c>
      <c r="F17" s="146">
        <f>D17</f>
        <v>286460.44</v>
      </c>
      <c r="G17" s="147">
        <f>E17-D17</f>
        <v>-12443.400000000023</v>
      </c>
      <c r="H17" s="70">
        <f>C17</f>
        <v>8.43</v>
      </c>
      <c r="I17" s="149"/>
      <c r="J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109419.05300118626</v>
      </c>
      <c r="E18" s="67">
        <f>E17*I18</f>
        <v>104666.05798339265</v>
      </c>
      <c r="F18" s="67">
        <f>D18</f>
        <v>109419.05300118626</v>
      </c>
      <c r="G18" s="68">
        <f aca="true" t="shared" si="0" ref="G18:G26">E18-D18</f>
        <v>-4752.995017793612</v>
      </c>
      <c r="H18" s="70">
        <f>C18</f>
        <v>3.22</v>
      </c>
      <c r="I18" s="32">
        <f>H18/H17</f>
        <v>0.38196915776986956</v>
      </c>
    </row>
    <row r="19" spans="1:9" s="25" customFormat="1" ht="15">
      <c r="A19" s="8" t="s">
        <v>18</v>
      </c>
      <c r="B19" s="9" t="s">
        <v>19</v>
      </c>
      <c r="C19" s="92">
        <v>1.43</v>
      </c>
      <c r="D19" s="67">
        <f>D17*I19</f>
        <v>48592.93347568209</v>
      </c>
      <c r="E19" s="67">
        <f>E17*I19</f>
        <v>46482.13134045077</v>
      </c>
      <c r="F19" s="67">
        <f>D19</f>
        <v>48592.93347568209</v>
      </c>
      <c r="G19" s="68">
        <f t="shared" si="0"/>
        <v>-2110.8021352313226</v>
      </c>
      <c r="H19" s="70">
        <f>C19</f>
        <v>1.43</v>
      </c>
      <c r="I19" s="32">
        <f>H19/H17</f>
        <v>0.16963226571767498</v>
      </c>
    </row>
    <row r="20" spans="1:9" s="25" customFormat="1" ht="15">
      <c r="A20" s="8" t="s">
        <v>20</v>
      </c>
      <c r="B20" s="9" t="s">
        <v>21</v>
      </c>
      <c r="C20" s="92">
        <v>1.07</v>
      </c>
      <c r="D20" s="67">
        <f>D17*I20</f>
        <v>36359.74742586003</v>
      </c>
      <c r="E20" s="67">
        <f>E17*I20</f>
        <v>34780.33603795967</v>
      </c>
      <c r="F20" s="67">
        <f>D20</f>
        <v>36359.74742586003</v>
      </c>
      <c r="G20" s="68">
        <f t="shared" si="0"/>
        <v>-1579.4113879003562</v>
      </c>
      <c r="H20" s="70">
        <f>C20</f>
        <v>1.07</v>
      </c>
      <c r="I20" s="32">
        <f>H20/H17</f>
        <v>0.1269276393831554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92088.70609727166</v>
      </c>
      <c r="E21" s="67">
        <f>E17*I21</f>
        <v>88088.51463819691</v>
      </c>
      <c r="F21" s="67">
        <f>D21</f>
        <v>92088.70609727166</v>
      </c>
      <c r="G21" s="68">
        <f t="shared" si="0"/>
        <v>-4000.1914590747474</v>
      </c>
      <c r="H21" s="70">
        <f>C21</f>
        <v>2.71</v>
      </c>
      <c r="I21" s="32">
        <f>H21/H17</f>
        <v>0.32147093712930014</v>
      </c>
    </row>
    <row r="22" spans="1:9" s="72" customFormat="1" ht="14.25">
      <c r="A22" s="191" t="s">
        <v>25</v>
      </c>
      <c r="B22" s="191" t="s">
        <v>26</v>
      </c>
      <c r="C22" s="153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</row>
    <row r="23" spans="1:9" s="72" customFormat="1" ht="14.25">
      <c r="A23" s="191" t="s">
        <v>27</v>
      </c>
      <c r="B23" s="191" t="s">
        <v>28</v>
      </c>
      <c r="C23" s="153">
        <v>0</v>
      </c>
      <c r="D23" s="153">
        <v>0</v>
      </c>
      <c r="E23" s="153">
        <v>2360.48</v>
      </c>
      <c r="F23" s="153">
        <f>D23</f>
        <v>0</v>
      </c>
      <c r="G23" s="153">
        <f t="shared" si="0"/>
        <v>2360.48</v>
      </c>
      <c r="H23" s="154"/>
      <c r="I23" s="154"/>
    </row>
    <row r="24" spans="1:9" s="72" customFormat="1" ht="14.25">
      <c r="A24" s="191" t="s">
        <v>29</v>
      </c>
      <c r="B24" s="191" t="s">
        <v>30</v>
      </c>
      <c r="C24" s="153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</row>
    <row r="25" spans="1:9" s="72" customFormat="1" ht="14.25">
      <c r="A25" s="191" t="s">
        <v>31</v>
      </c>
      <c r="B25" s="191" t="s">
        <v>131</v>
      </c>
      <c r="C25" s="205" t="s">
        <v>344</v>
      </c>
      <c r="D25" s="153">
        <v>51860.2</v>
      </c>
      <c r="E25" s="153">
        <v>49623.36</v>
      </c>
      <c r="F25" s="153">
        <f>F40</f>
        <v>121484.2936</v>
      </c>
      <c r="G25" s="153">
        <f>E25-D25</f>
        <v>-2236.8399999999965</v>
      </c>
      <c r="H25" s="154"/>
      <c r="I25" s="154"/>
    </row>
    <row r="26" spans="1:9" ht="14.25">
      <c r="A26" s="129" t="s">
        <v>33</v>
      </c>
      <c r="B26" s="129" t="s">
        <v>230</v>
      </c>
      <c r="C26" s="147">
        <v>1832.48</v>
      </c>
      <c r="D26" s="147">
        <v>1832.49</v>
      </c>
      <c r="E26" s="147">
        <v>1670.54</v>
      </c>
      <c r="F26" s="153">
        <f>D26</f>
        <v>1832.49</v>
      </c>
      <c r="G26" s="147">
        <f t="shared" si="0"/>
        <v>-161.95000000000005</v>
      </c>
      <c r="H26" s="37"/>
      <c r="I26" s="37"/>
    </row>
    <row r="27" spans="1:9" ht="14.25">
      <c r="A27" s="129" t="s">
        <v>35</v>
      </c>
      <c r="B27" s="129" t="s">
        <v>36</v>
      </c>
      <c r="C27" s="147"/>
      <c r="D27" s="147">
        <f>SUM(D28:D31)</f>
        <v>1251638.5</v>
      </c>
      <c r="E27" s="147">
        <f>SUM(E28:E31)</f>
        <v>1217730.48</v>
      </c>
      <c r="F27" s="147">
        <f>SUM(F28:F31)</f>
        <v>1251638.5</v>
      </c>
      <c r="G27" s="147">
        <f>SUM(G28:G31)</f>
        <v>-33908.020000000084</v>
      </c>
      <c r="H27" s="37"/>
      <c r="I27" s="37"/>
    </row>
    <row r="28" spans="1:7" ht="15">
      <c r="A28" s="9" t="s">
        <v>37</v>
      </c>
      <c r="B28" s="9" t="s">
        <v>235</v>
      </c>
      <c r="C28" s="134" t="s">
        <v>315</v>
      </c>
      <c r="D28" s="68">
        <v>8939.88</v>
      </c>
      <c r="E28" s="68">
        <v>8618.64</v>
      </c>
      <c r="F28" s="68">
        <f>D28</f>
        <v>8939.88</v>
      </c>
      <c r="G28" s="68">
        <f>E28-D28</f>
        <v>-321.2399999999998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313178.96</v>
      </c>
      <c r="E29" s="68">
        <v>305728</v>
      </c>
      <c r="F29" s="68">
        <f>D29</f>
        <v>313178.96</v>
      </c>
      <c r="G29" s="68">
        <f>E29-D29</f>
        <v>-7450.960000000021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929519.66</v>
      </c>
      <c r="E31" s="68">
        <v>903383.84</v>
      </c>
      <c r="F31" s="68">
        <f>D31</f>
        <v>929519.66</v>
      </c>
      <c r="G31" s="68">
        <f>E31-D31</f>
        <v>-26135.820000000065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101775.16999999993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-44077.86360000001</v>
      </c>
      <c r="H35" s="40"/>
      <c r="I35" s="40"/>
    </row>
    <row r="36" spans="1:9" s="20" customFormat="1" ht="13.5">
      <c r="A36" s="21"/>
      <c r="B36" s="21"/>
      <c r="C36" s="21"/>
      <c r="D36" s="21"/>
      <c r="E36" s="22"/>
      <c r="F36" s="22"/>
      <c r="G36" s="22"/>
      <c r="H36" s="22"/>
      <c r="I36" s="22"/>
    </row>
    <row r="37" spans="1:9" s="20" customFormat="1" ht="27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</row>
    <row r="39" spans="1:7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</row>
    <row r="40" spans="1:7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SUM(F41:G47)</f>
        <v>121484.2936</v>
      </c>
      <c r="G40" s="291"/>
    </row>
    <row r="41" spans="1:7" s="12" customFormat="1" ht="15">
      <c r="A41" s="9" t="s">
        <v>16</v>
      </c>
      <c r="B41" s="271" t="s">
        <v>636</v>
      </c>
      <c r="C41" s="273"/>
      <c r="D41" s="158" t="s">
        <v>410</v>
      </c>
      <c r="E41" s="158">
        <v>0.01</v>
      </c>
      <c r="F41" s="308">
        <v>965.25</v>
      </c>
      <c r="G41" s="309"/>
    </row>
    <row r="42" spans="1:7" s="25" customFormat="1" ht="15">
      <c r="A42" s="9" t="s">
        <v>18</v>
      </c>
      <c r="B42" s="271" t="s">
        <v>598</v>
      </c>
      <c r="C42" s="273"/>
      <c r="D42" s="158" t="s">
        <v>410</v>
      </c>
      <c r="E42" s="158">
        <v>0.01</v>
      </c>
      <c r="F42" s="308">
        <v>967.74</v>
      </c>
      <c r="G42" s="309"/>
    </row>
    <row r="43" spans="1:9" s="3" customFormat="1" ht="15">
      <c r="A43" s="9" t="s">
        <v>20</v>
      </c>
      <c r="B43" s="271" t="s">
        <v>223</v>
      </c>
      <c r="C43" s="273"/>
      <c r="D43" s="158" t="s">
        <v>239</v>
      </c>
      <c r="E43" s="158">
        <v>600</v>
      </c>
      <c r="F43" s="308">
        <v>6156</v>
      </c>
      <c r="G43" s="309"/>
      <c r="H43" s="25"/>
      <c r="I43" s="25"/>
    </row>
    <row r="44" spans="1:9" s="25" customFormat="1" ht="15">
      <c r="A44" s="9" t="s">
        <v>22</v>
      </c>
      <c r="B44" s="271" t="s">
        <v>637</v>
      </c>
      <c r="C44" s="273"/>
      <c r="D44" s="158" t="s">
        <v>238</v>
      </c>
      <c r="E44" s="158">
        <v>17</v>
      </c>
      <c r="F44" s="308">
        <v>17000</v>
      </c>
      <c r="G44" s="309"/>
      <c r="H44" s="3"/>
      <c r="I44" s="3"/>
    </row>
    <row r="45" spans="1:7" s="25" customFormat="1" ht="15">
      <c r="A45" s="242" t="s">
        <v>24</v>
      </c>
      <c r="B45" s="271" t="s">
        <v>455</v>
      </c>
      <c r="C45" s="273"/>
      <c r="D45" s="158" t="s">
        <v>412</v>
      </c>
      <c r="E45" s="158">
        <v>0.48</v>
      </c>
      <c r="F45" s="308">
        <v>60408.83</v>
      </c>
      <c r="G45" s="309"/>
    </row>
    <row r="46" spans="1:9" s="25" customFormat="1" ht="15">
      <c r="A46" s="9" t="s">
        <v>116</v>
      </c>
      <c r="B46" s="271" t="s">
        <v>638</v>
      </c>
      <c r="C46" s="273"/>
      <c r="D46" s="158" t="s">
        <v>412</v>
      </c>
      <c r="E46" s="158">
        <v>0.25</v>
      </c>
      <c r="F46" s="308">
        <v>35490.24</v>
      </c>
      <c r="G46" s="309"/>
      <c r="H46" s="34"/>
      <c r="I46" s="34"/>
    </row>
    <row r="47" spans="1:7" ht="15">
      <c r="A47" s="9" t="s">
        <v>117</v>
      </c>
      <c r="B47" s="306" t="s">
        <v>286</v>
      </c>
      <c r="C47" s="307"/>
      <c r="D47" s="199"/>
      <c r="E47" s="199"/>
      <c r="F47" s="296">
        <f>E25*1%</f>
        <v>496.2336</v>
      </c>
      <c r="G47" s="296"/>
    </row>
    <row r="48" spans="1:7" ht="12.75">
      <c r="A48" s="25"/>
      <c r="B48" s="25"/>
      <c r="C48" s="25"/>
      <c r="D48" s="25"/>
      <c r="E48" s="25"/>
      <c r="F48" s="25"/>
      <c r="G48" s="25"/>
    </row>
    <row r="49" spans="1:7" ht="15">
      <c r="A49" s="3" t="s">
        <v>55</v>
      </c>
      <c r="B49" s="3"/>
      <c r="C49" s="101" t="s">
        <v>49</v>
      </c>
      <c r="D49" s="3"/>
      <c r="E49" s="3"/>
      <c r="F49" s="3" t="s">
        <v>102</v>
      </c>
      <c r="G49" s="3"/>
    </row>
    <row r="50" spans="1:7" ht="15">
      <c r="A50" s="3"/>
      <c r="B50" s="3"/>
      <c r="C50" s="101"/>
      <c r="D50" s="3"/>
      <c r="E50" s="3"/>
      <c r="F50" s="4" t="s">
        <v>303</v>
      </c>
      <c r="G50" s="3"/>
    </row>
    <row r="51" spans="1:7" ht="15">
      <c r="A51" s="3" t="s">
        <v>50</v>
      </c>
      <c r="B51" s="3"/>
      <c r="C51" s="101"/>
      <c r="D51" s="3"/>
      <c r="E51" s="3"/>
      <c r="F51" s="3"/>
      <c r="G51" s="3"/>
    </row>
    <row r="52" spans="1:7" ht="15">
      <c r="A52" s="3"/>
      <c r="B52" s="3"/>
      <c r="C52" s="106" t="s">
        <v>51</v>
      </c>
      <c r="D52" s="3"/>
      <c r="E52" s="14"/>
      <c r="F52" s="14"/>
      <c r="G52" s="14"/>
    </row>
  </sheetData>
  <sheetProtection/>
  <mergeCells count="28">
    <mergeCell ref="B47:C47"/>
    <mergeCell ref="F47:G47"/>
    <mergeCell ref="B46:C46"/>
    <mergeCell ref="F46:G46"/>
    <mergeCell ref="B43:C43"/>
    <mergeCell ref="F43:G43"/>
    <mergeCell ref="B44:C44"/>
    <mergeCell ref="F44:G44"/>
    <mergeCell ref="B45:C45"/>
    <mergeCell ref="F45:G45"/>
    <mergeCell ref="B42:C42"/>
    <mergeCell ref="F42:G42"/>
    <mergeCell ref="B40:C40"/>
    <mergeCell ref="F40:G40"/>
    <mergeCell ref="B41:C41"/>
    <mergeCell ref="F41:G41"/>
    <mergeCell ref="A11:I11"/>
    <mergeCell ref="A12:C12"/>
    <mergeCell ref="A33:C33"/>
    <mergeCell ref="A37:I37"/>
    <mergeCell ref="B39:C39"/>
    <mergeCell ref="F39:G39"/>
    <mergeCell ref="A10:I10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F51" sqref="F51:G51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276</v>
      </c>
      <c r="H7" s="26"/>
    </row>
    <row r="8" spans="1:8" s="25" customFormat="1" ht="12.75">
      <c r="A8" s="25" t="s">
        <v>3</v>
      </c>
      <c r="F8" s="26" t="s">
        <v>277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89946.58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313</v>
      </c>
      <c r="B14" s="43"/>
      <c r="C14" s="43"/>
      <c r="D14" s="44"/>
      <c r="E14" s="45"/>
      <c r="F14" s="45"/>
      <c r="G14" s="73">
        <v>54328.34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946135.46</v>
      </c>
      <c r="E17" s="146">
        <v>926716.55</v>
      </c>
      <c r="F17" s="146">
        <f aca="true" t="shared" si="0" ref="F17:F24">D17</f>
        <v>946135.46</v>
      </c>
      <c r="G17" s="147">
        <f>E17-D17</f>
        <v>-19418.909999999916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325834.8856898396</v>
      </c>
      <c r="E18" s="67">
        <f>E17*I18</f>
        <v>319147.30385026743</v>
      </c>
      <c r="F18" s="67">
        <f t="shared" si="0"/>
        <v>325834.8856898396</v>
      </c>
      <c r="G18" s="68">
        <f aca="true" t="shared" si="1" ref="G18:G26">E18-D18</f>
        <v>-6687.581839572173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154822.16618181817</v>
      </c>
      <c r="E19" s="67">
        <f>E17*I19</f>
        <v>151644.52636363637</v>
      </c>
      <c r="F19" s="67">
        <f t="shared" si="0"/>
        <v>154822.16618181817</v>
      </c>
      <c r="G19" s="68">
        <f t="shared" si="1"/>
        <v>-3177.6398181818076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191250.9111657754</v>
      </c>
      <c r="E20" s="67">
        <f>E17*I20</f>
        <v>187325.59139037435</v>
      </c>
      <c r="F20" s="67">
        <f t="shared" si="0"/>
        <v>191250.9111657754</v>
      </c>
      <c r="G20" s="68">
        <f t="shared" si="1"/>
        <v>-3925.3197754010616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274227.49696256686</v>
      </c>
      <c r="E21" s="67">
        <f>E17*I21</f>
        <v>268599.12839572196</v>
      </c>
      <c r="F21" s="67">
        <f t="shared" si="0"/>
        <v>274227.49696256686</v>
      </c>
      <c r="G21" s="68">
        <f t="shared" si="1"/>
        <v>-5628.368566844903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26</v>
      </c>
      <c r="C22" s="176">
        <v>3.58</v>
      </c>
      <c r="D22" s="153">
        <v>361555.04</v>
      </c>
      <c r="E22" s="153">
        <v>354481.5</v>
      </c>
      <c r="F22" s="153">
        <f t="shared" si="0"/>
        <v>361555.04</v>
      </c>
      <c r="G22" s="153">
        <f t="shared" si="1"/>
        <v>-7073.539999999979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4.6</v>
      </c>
      <c r="D23" s="153">
        <v>0</v>
      </c>
      <c r="E23" s="153">
        <v>5879.49</v>
      </c>
      <c r="F23" s="153">
        <f t="shared" si="0"/>
        <v>0</v>
      </c>
      <c r="G23" s="153">
        <f t="shared" si="1"/>
        <v>5879.49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1.04</v>
      </c>
      <c r="D24" s="153">
        <v>105279.58</v>
      </c>
      <c r="E24" s="153">
        <v>103200.19</v>
      </c>
      <c r="F24" s="153">
        <f t="shared" si="0"/>
        <v>105279.58</v>
      </c>
      <c r="G24" s="153">
        <f t="shared" si="1"/>
        <v>-2079.3899999999994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1.92</v>
      </c>
      <c r="D25" s="153">
        <v>194201.2</v>
      </c>
      <c r="E25" s="153">
        <v>190302.02</v>
      </c>
      <c r="F25" s="153">
        <f>F40</f>
        <v>158481.2302</v>
      </c>
      <c r="G25" s="153">
        <f>E25-D25</f>
        <v>-3899.180000000022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1832.48</v>
      </c>
      <c r="D26" s="147">
        <v>13926.27</v>
      </c>
      <c r="E26" s="147">
        <v>13956.62</v>
      </c>
      <c r="F26" s="153">
        <f>D26</f>
        <v>13926.27</v>
      </c>
      <c r="G26" s="147">
        <f t="shared" si="1"/>
        <v>30.350000000000364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>
        <v>0</v>
      </c>
      <c r="D27" s="147">
        <f>SUM(D28:D31)</f>
        <v>3876581.21</v>
      </c>
      <c r="E27" s="147">
        <f>SUM(E28:E31)</f>
        <v>3785377.8899999997</v>
      </c>
      <c r="F27" s="147">
        <f>SUM(F28:F31)</f>
        <v>3876581.21</v>
      </c>
      <c r="G27" s="147">
        <f>SUM(G28:G31)</f>
        <v>-91203.31999999977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174245.9</v>
      </c>
      <c r="E28" s="68">
        <v>170928.48</v>
      </c>
      <c r="F28" s="68">
        <f>D28</f>
        <v>174245.9</v>
      </c>
      <c r="G28" s="68">
        <f>E28-D28</f>
        <v>-3317.4199999999837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775843.98</v>
      </c>
      <c r="E29" s="68">
        <v>764040.93</v>
      </c>
      <c r="F29" s="68">
        <f>D29</f>
        <v>775843.98</v>
      </c>
      <c r="G29" s="68">
        <f>E29-D29</f>
        <v>-11803.04999999993</v>
      </c>
    </row>
    <row r="30" spans="1:7" ht="15">
      <c r="A30" s="9" t="s">
        <v>42</v>
      </c>
      <c r="B30" s="9" t="s">
        <v>170</v>
      </c>
      <c r="C30" s="195" t="s">
        <v>345</v>
      </c>
      <c r="D30" s="68">
        <v>1049198.2</v>
      </c>
      <c r="E30" s="68">
        <v>1015818.51</v>
      </c>
      <c r="F30" s="68">
        <f>D30</f>
        <v>1049198.2</v>
      </c>
      <c r="G30" s="68">
        <f>E30-D30</f>
        <v>-33379.689999999944</v>
      </c>
    </row>
    <row r="31" spans="1:7" ht="15">
      <c r="A31" s="9" t="s">
        <v>41</v>
      </c>
      <c r="B31" s="9" t="s">
        <v>43</v>
      </c>
      <c r="C31" s="195" t="s">
        <v>341</v>
      </c>
      <c r="D31" s="68">
        <v>1877293.13</v>
      </c>
      <c r="E31" s="68">
        <v>1834589.97</v>
      </c>
      <c r="F31" s="68">
        <f>D31</f>
        <v>1877293.13</v>
      </c>
      <c r="G31" s="68">
        <f>E31-D31</f>
        <v>-42703.159999999916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207711.0799999996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86149.1298</v>
      </c>
      <c r="H35" s="40"/>
      <c r="I35" s="40"/>
    </row>
    <row r="36" spans="1:11" s="20" customFormat="1" ht="13.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1" ht="31.5" customHeight="1">
      <c r="A37" s="267" t="s">
        <v>271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2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L39" s="54"/>
    </row>
    <row r="40" spans="1:12" s="12" customFormat="1" ht="15" customHeight="1">
      <c r="A40" s="11" t="s">
        <v>47</v>
      </c>
      <c r="B40" s="287" t="s">
        <v>126</v>
      </c>
      <c r="C40" s="288"/>
      <c r="D40" s="157"/>
      <c r="E40" s="157"/>
      <c r="F40" s="295">
        <f>SUM(F41:G51)</f>
        <v>158481.2302</v>
      </c>
      <c r="G40" s="291"/>
      <c r="H40" s="59"/>
      <c r="I40" s="60"/>
      <c r="L40" s="55"/>
    </row>
    <row r="41" spans="1:12" ht="15" customHeight="1">
      <c r="A41" s="9" t="s">
        <v>16</v>
      </c>
      <c r="B41" s="271" t="s">
        <v>596</v>
      </c>
      <c r="C41" s="273"/>
      <c r="D41" s="158" t="s">
        <v>410</v>
      </c>
      <c r="E41" s="158">
        <v>0.01</v>
      </c>
      <c r="F41" s="308">
        <v>439.97</v>
      </c>
      <c r="G41" s="309"/>
      <c r="H41" s="61"/>
      <c r="I41" s="62"/>
      <c r="L41" s="56"/>
    </row>
    <row r="42" spans="1:12" ht="15" customHeight="1">
      <c r="A42" s="9" t="s">
        <v>18</v>
      </c>
      <c r="B42" s="271" t="s">
        <v>597</v>
      </c>
      <c r="C42" s="273"/>
      <c r="D42" s="158" t="s">
        <v>602</v>
      </c>
      <c r="E42" s="158">
        <v>0.03</v>
      </c>
      <c r="F42" s="308">
        <v>1074.39</v>
      </c>
      <c r="G42" s="309"/>
      <c r="H42" s="90"/>
      <c r="I42" s="90"/>
      <c r="L42" s="56"/>
    </row>
    <row r="43" spans="1:12" ht="15">
      <c r="A43" s="9" t="s">
        <v>20</v>
      </c>
      <c r="B43" s="271" t="s">
        <v>598</v>
      </c>
      <c r="C43" s="273"/>
      <c r="D43" s="158" t="s">
        <v>410</v>
      </c>
      <c r="E43" s="158">
        <v>0.01</v>
      </c>
      <c r="F43" s="308">
        <v>506.07</v>
      </c>
      <c r="G43" s="309"/>
      <c r="H43" s="90"/>
      <c r="I43" s="90"/>
      <c r="L43" s="56"/>
    </row>
    <row r="44" spans="1:12" ht="15">
      <c r="A44" s="9" t="s">
        <v>22</v>
      </c>
      <c r="B44" s="271" t="s">
        <v>250</v>
      </c>
      <c r="C44" s="273"/>
      <c r="D44" s="158" t="s">
        <v>239</v>
      </c>
      <c r="E44" s="158">
        <v>1164</v>
      </c>
      <c r="F44" s="308">
        <v>8160.8</v>
      </c>
      <c r="G44" s="309"/>
      <c r="H44" s="90"/>
      <c r="I44" s="90"/>
      <c r="L44" s="56"/>
    </row>
    <row r="45" spans="1:11" s="3" customFormat="1" ht="15">
      <c r="A45" s="242" t="s">
        <v>24</v>
      </c>
      <c r="B45" s="271" t="s">
        <v>599</v>
      </c>
      <c r="C45" s="273"/>
      <c r="D45" s="158" t="s">
        <v>410</v>
      </c>
      <c r="E45" s="158">
        <v>0.01</v>
      </c>
      <c r="F45" s="308">
        <v>1033.1</v>
      </c>
      <c r="G45" s="309"/>
      <c r="H45" s="25"/>
      <c r="I45" s="25"/>
      <c r="J45" s="25"/>
      <c r="K45" s="25"/>
    </row>
    <row r="46" spans="1:7" s="25" customFormat="1" ht="15">
      <c r="A46" s="9" t="s">
        <v>116</v>
      </c>
      <c r="B46" s="271" t="s">
        <v>600</v>
      </c>
      <c r="C46" s="273"/>
      <c r="D46" s="158" t="s">
        <v>410</v>
      </c>
      <c r="E46" s="158">
        <v>0.02</v>
      </c>
      <c r="F46" s="308">
        <v>863.21</v>
      </c>
      <c r="G46" s="309"/>
    </row>
    <row r="47" spans="1:11" s="25" customFormat="1" ht="15">
      <c r="A47" s="9" t="s">
        <v>117</v>
      </c>
      <c r="B47" s="271" t="s">
        <v>601</v>
      </c>
      <c r="C47" s="273"/>
      <c r="D47" s="158" t="s">
        <v>234</v>
      </c>
      <c r="E47" s="158">
        <v>36</v>
      </c>
      <c r="F47" s="308">
        <v>1440</v>
      </c>
      <c r="G47" s="309"/>
      <c r="H47" s="3"/>
      <c r="I47" s="3"/>
      <c r="J47" s="3"/>
      <c r="K47" s="3"/>
    </row>
    <row r="48" spans="1:7" s="25" customFormat="1" ht="15">
      <c r="A48" s="9" t="s">
        <v>132</v>
      </c>
      <c r="B48" s="271" t="s">
        <v>603</v>
      </c>
      <c r="C48" s="273"/>
      <c r="D48" s="158" t="s">
        <v>416</v>
      </c>
      <c r="E48" s="158">
        <v>1.09</v>
      </c>
      <c r="F48" s="308">
        <v>53060.67</v>
      </c>
      <c r="G48" s="309"/>
    </row>
    <row r="49" spans="1:7" s="25" customFormat="1" ht="15">
      <c r="A49" s="9" t="s">
        <v>133</v>
      </c>
      <c r="B49" s="213" t="s">
        <v>717</v>
      </c>
      <c r="C49" s="256"/>
      <c r="D49" s="158"/>
      <c r="E49" s="158"/>
      <c r="F49" s="308">
        <v>30000</v>
      </c>
      <c r="G49" s="309"/>
    </row>
    <row r="50" spans="1:7" s="25" customFormat="1" ht="15">
      <c r="A50" s="9" t="s">
        <v>134</v>
      </c>
      <c r="B50" s="271" t="s">
        <v>723</v>
      </c>
      <c r="C50" s="273"/>
      <c r="D50" s="158"/>
      <c r="E50" s="158"/>
      <c r="F50" s="308">
        <v>60000</v>
      </c>
      <c r="G50" s="309"/>
    </row>
    <row r="51" spans="1:7" ht="15">
      <c r="A51" s="9" t="s">
        <v>171</v>
      </c>
      <c r="B51" s="306" t="s">
        <v>286</v>
      </c>
      <c r="C51" s="307"/>
      <c r="D51" s="199"/>
      <c r="E51" s="199"/>
      <c r="F51" s="296">
        <f>E25*1%</f>
        <v>1903.0202</v>
      </c>
      <c r="G51" s="296"/>
    </row>
    <row r="52" spans="1:7" ht="12.75">
      <c r="A52" s="25"/>
      <c r="B52" s="25"/>
      <c r="C52" s="25"/>
      <c r="D52" s="25"/>
      <c r="E52" s="25"/>
      <c r="F52" s="25"/>
      <c r="G52" s="25"/>
    </row>
    <row r="53" spans="1:7" ht="15">
      <c r="A53" s="3" t="s">
        <v>55</v>
      </c>
      <c r="B53" s="3"/>
      <c r="C53" s="101" t="s">
        <v>49</v>
      </c>
      <c r="D53" s="3"/>
      <c r="E53" s="3"/>
      <c r="F53" s="3" t="s">
        <v>102</v>
      </c>
      <c r="G53" s="3"/>
    </row>
    <row r="54" spans="1:7" ht="15">
      <c r="A54" s="3"/>
      <c r="B54" s="3"/>
      <c r="C54" s="101"/>
      <c r="D54" s="3"/>
      <c r="E54" s="3"/>
      <c r="F54" s="4" t="s">
        <v>303</v>
      </c>
      <c r="G54" s="3"/>
    </row>
    <row r="55" spans="1:7" ht="15">
      <c r="A55" s="3" t="s">
        <v>50</v>
      </c>
      <c r="B55" s="3"/>
      <c r="C55" s="101"/>
      <c r="D55" s="3"/>
      <c r="E55" s="3"/>
      <c r="F55" s="3"/>
      <c r="G55" s="3"/>
    </row>
    <row r="56" spans="1:7" ht="15">
      <c r="A56" s="3"/>
      <c r="B56" s="3"/>
      <c r="C56" s="106" t="s">
        <v>51</v>
      </c>
      <c r="D56" s="3"/>
      <c r="E56" s="14"/>
      <c r="F56" s="14"/>
      <c r="G56" s="14"/>
    </row>
  </sheetData>
  <sheetProtection/>
  <mergeCells count="35">
    <mergeCell ref="F50:G50"/>
    <mergeCell ref="B51:C51"/>
    <mergeCell ref="F51:G51"/>
    <mergeCell ref="B46:C46"/>
    <mergeCell ref="F46:G46"/>
    <mergeCell ref="B47:C47"/>
    <mergeCell ref="F47:G47"/>
    <mergeCell ref="B48:C48"/>
    <mergeCell ref="F48:G48"/>
    <mergeCell ref="F49:G49"/>
    <mergeCell ref="B50:C50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  <mergeCell ref="B43:C43"/>
    <mergeCell ref="F43:G43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5.57421875" style="23" customWidth="1"/>
    <col min="2" max="2" width="51.8515625" style="23" customWidth="1"/>
    <col min="3" max="3" width="15.7109375" style="23" customWidth="1"/>
    <col min="4" max="4" width="14.8515625" style="23" customWidth="1"/>
    <col min="5" max="5" width="13.28125" style="23" customWidth="1"/>
    <col min="6" max="6" width="12.85156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13" s="25" customFormat="1" ht="16.5" customHeight="1">
      <c r="A7" s="25" t="s">
        <v>2</v>
      </c>
      <c r="F7" s="26" t="s">
        <v>274</v>
      </c>
      <c r="H7" s="26"/>
      <c r="L7" s="64"/>
      <c r="M7" s="25" t="s">
        <v>148</v>
      </c>
    </row>
    <row r="8" spans="1:8" s="25" customFormat="1" ht="12.75">
      <c r="A8" s="25" t="s">
        <v>3</v>
      </c>
      <c r="F8" s="26" t="s">
        <v>275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8107.71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313</v>
      </c>
      <c r="B14" s="43"/>
      <c r="C14" s="43"/>
      <c r="D14" s="44"/>
      <c r="E14" s="45"/>
      <c r="F14" s="45"/>
      <c r="G14" s="73">
        <v>7180.22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6" s="25" customFormat="1" ht="14.25">
      <c r="A17" s="163" t="s">
        <v>14</v>
      </c>
      <c r="B17" s="129" t="s">
        <v>15</v>
      </c>
      <c r="C17" s="208">
        <f>C18+C19+C20+C21</f>
        <v>8.93</v>
      </c>
      <c r="D17" s="146">
        <v>96497.88</v>
      </c>
      <c r="E17" s="146">
        <v>92209.41</v>
      </c>
      <c r="F17" s="146">
        <f>D17</f>
        <v>96497.88</v>
      </c>
      <c r="G17" s="147">
        <f>E17-D17</f>
        <v>-4288.470000000001</v>
      </c>
      <c r="H17" s="70">
        <f>C17</f>
        <v>8.93</v>
      </c>
      <c r="I17" s="149"/>
      <c r="J17" s="149"/>
      <c r="K17" s="149"/>
      <c r="O17" s="70"/>
      <c r="P17" s="63"/>
    </row>
    <row r="18" spans="1:9" s="25" customFormat="1" ht="15">
      <c r="A18" s="8" t="s">
        <v>16</v>
      </c>
      <c r="B18" s="9" t="s">
        <v>17</v>
      </c>
      <c r="C18" s="68">
        <v>3.22</v>
      </c>
      <c r="D18" s="67">
        <f>D17*I18</f>
        <v>34795.42817469205</v>
      </c>
      <c r="E18" s="67">
        <f>E17*I18</f>
        <v>33249.081769316916</v>
      </c>
      <c r="F18" s="67">
        <f>D18</f>
        <v>34795.42817469205</v>
      </c>
      <c r="G18" s="68">
        <f aca="true" t="shared" si="0" ref="G18:G26">E18-D18</f>
        <v>-1546.3464053751377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68">
        <v>1.58</v>
      </c>
      <c r="D19" s="67">
        <f>D17*I19</f>
        <v>17073.53307950728</v>
      </c>
      <c r="E19" s="67">
        <f>E17*I19</f>
        <v>16314.766830907056</v>
      </c>
      <c r="F19" s="67">
        <f>D19</f>
        <v>17073.53307950728</v>
      </c>
      <c r="G19" s="68">
        <f t="shared" si="0"/>
        <v>-758.7662486002246</v>
      </c>
      <c r="H19" s="70">
        <f>C19</f>
        <v>1.58</v>
      </c>
      <c r="I19" s="32">
        <f>H19/H17</f>
        <v>0.1769316909294513</v>
      </c>
    </row>
    <row r="20" spans="1:9" s="25" customFormat="1" ht="15">
      <c r="A20" s="8" t="s">
        <v>20</v>
      </c>
      <c r="B20" s="9" t="s">
        <v>21</v>
      </c>
      <c r="C20" s="68">
        <v>1.42</v>
      </c>
      <c r="D20" s="67">
        <f>D17*I20</f>
        <v>15344.5677043673</v>
      </c>
      <c r="E20" s="67">
        <f>E17*I20</f>
        <v>14662.638544232921</v>
      </c>
      <c r="F20" s="67">
        <f>D20</f>
        <v>15344.5677043673</v>
      </c>
      <c r="G20" s="68">
        <f t="shared" si="0"/>
        <v>-681.9291601343793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68">
        <v>2.71</v>
      </c>
      <c r="D21" s="67">
        <f>D17*I21</f>
        <v>29284.351041433372</v>
      </c>
      <c r="E21" s="67">
        <f>E17*I21</f>
        <v>27982.922855543115</v>
      </c>
      <c r="F21" s="67">
        <f>D21</f>
        <v>29284.351041433372</v>
      </c>
      <c r="G21" s="68">
        <f t="shared" si="0"/>
        <v>-1301.4281858902577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53">
        <v>0</v>
      </c>
      <c r="D22" s="153">
        <v>0</v>
      </c>
      <c r="E22" s="153">
        <v>0</v>
      </c>
      <c r="F22" s="153">
        <v>0</v>
      </c>
      <c r="G22" s="153">
        <f t="shared" si="0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53">
        <v>4.6</v>
      </c>
      <c r="D23" s="153">
        <v>0</v>
      </c>
      <c r="E23" s="153">
        <v>492.79</v>
      </c>
      <c r="F23" s="153">
        <f>D23</f>
        <v>0</v>
      </c>
      <c r="G23" s="153">
        <f t="shared" si="0"/>
        <v>492.79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53">
        <v>0</v>
      </c>
      <c r="D24" s="153">
        <v>0</v>
      </c>
      <c r="E24" s="153">
        <v>0</v>
      </c>
      <c r="F24" s="153">
        <v>0</v>
      </c>
      <c r="G24" s="153">
        <f t="shared" si="0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5">
        <v>1.74</v>
      </c>
      <c r="D25" s="153">
        <v>18802.44</v>
      </c>
      <c r="E25" s="153">
        <v>17965.14</v>
      </c>
      <c r="F25" s="153">
        <f>F40</f>
        <v>33339.8514</v>
      </c>
      <c r="G25" s="153">
        <f>E25-D25</f>
        <v>-837.2999999999993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47">
        <v>0</v>
      </c>
      <c r="D26" s="147">
        <v>0</v>
      </c>
      <c r="E26" s="147">
        <v>0</v>
      </c>
      <c r="F26" s="153">
        <f>D26</f>
        <v>0</v>
      </c>
      <c r="G26" s="147">
        <f t="shared" si="0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47"/>
      <c r="D27" s="147">
        <f>SUM(D28:D31)</f>
        <v>455333.06999999995</v>
      </c>
      <c r="E27" s="147">
        <f>SUM(E28:E31)</f>
        <v>439543.44</v>
      </c>
      <c r="F27" s="147">
        <f>SUM(F28:F31)</f>
        <v>455333.06999999995</v>
      </c>
      <c r="G27" s="147">
        <f>SUM(G28:G31)</f>
        <v>-15789.629999999968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1141.32</v>
      </c>
      <c r="E28" s="68">
        <v>1090.25</v>
      </c>
      <c r="F28" s="68">
        <f>D28</f>
        <v>1141.32</v>
      </c>
      <c r="G28" s="68">
        <f>E28-D28</f>
        <v>-51.069999999999936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97188.59</v>
      </c>
      <c r="E29" s="68">
        <v>92587.19</v>
      </c>
      <c r="F29" s="68">
        <f>D29</f>
        <v>97188.59</v>
      </c>
      <c r="G29" s="68">
        <f>E29-D29</f>
        <v>-4601.399999999994</v>
      </c>
    </row>
    <row r="30" spans="1:7" ht="15">
      <c r="A30" s="9" t="s">
        <v>42</v>
      </c>
      <c r="B30" s="9" t="s">
        <v>170</v>
      </c>
      <c r="C30" s="182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34" t="s">
        <v>316</v>
      </c>
      <c r="D31" s="68">
        <v>357003.16</v>
      </c>
      <c r="E31" s="68">
        <v>345866</v>
      </c>
      <c r="F31" s="68">
        <f>D31</f>
        <v>357003.16</v>
      </c>
      <c r="G31" s="68">
        <f>E31-D31</f>
        <v>-11137.159999999974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28530.31999999995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-8194.491399999999</v>
      </c>
      <c r="H35" s="40"/>
      <c r="I35" s="40"/>
    </row>
    <row r="36" spans="1:13" s="20" customFormat="1" ht="13.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3" s="20" customFormat="1" ht="27" customHeight="1">
      <c r="A37" s="267" t="s">
        <v>44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2"/>
      <c r="M37" s="22"/>
    </row>
    <row r="39" spans="1:11" ht="28.5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J39" s="18"/>
      <c r="K39" s="18"/>
    </row>
    <row r="40" spans="1:14" s="18" customFormat="1" ht="15">
      <c r="A40" s="11" t="s">
        <v>47</v>
      </c>
      <c r="B40" s="287" t="s">
        <v>126</v>
      </c>
      <c r="C40" s="288"/>
      <c r="D40" s="157"/>
      <c r="E40" s="157"/>
      <c r="F40" s="295">
        <f>SUM(F41:G44)</f>
        <v>33339.8514</v>
      </c>
      <c r="G40" s="291"/>
      <c r="H40" s="59"/>
      <c r="I40" s="60"/>
      <c r="J40" s="12"/>
      <c r="K40" s="12"/>
      <c r="N40" s="54"/>
    </row>
    <row r="41" spans="1:7" s="25" customFormat="1" ht="15">
      <c r="A41" s="9" t="s">
        <v>16</v>
      </c>
      <c r="B41" s="271" t="s">
        <v>702</v>
      </c>
      <c r="C41" s="273"/>
      <c r="D41" s="158" t="s">
        <v>234</v>
      </c>
      <c r="E41" s="158">
        <v>0.02</v>
      </c>
      <c r="F41" s="308">
        <v>14545.09</v>
      </c>
      <c r="G41" s="309"/>
    </row>
    <row r="42" spans="1:11" s="3" customFormat="1" ht="15">
      <c r="A42" s="9" t="s">
        <v>18</v>
      </c>
      <c r="B42" s="271" t="s">
        <v>709</v>
      </c>
      <c r="C42" s="273"/>
      <c r="D42" s="158" t="s">
        <v>234</v>
      </c>
      <c r="E42" s="158">
        <v>0.02</v>
      </c>
      <c r="F42" s="308">
        <v>14545.09</v>
      </c>
      <c r="G42" s="309"/>
      <c r="H42" s="25"/>
      <c r="I42" s="25"/>
      <c r="J42" s="25"/>
      <c r="K42" s="25"/>
    </row>
    <row r="43" spans="1:11" s="25" customFormat="1" ht="15">
      <c r="A43" s="9" t="s">
        <v>20</v>
      </c>
      <c r="B43" s="271" t="s">
        <v>710</v>
      </c>
      <c r="C43" s="273"/>
      <c r="D43" s="158" t="s">
        <v>233</v>
      </c>
      <c r="E43" s="158">
        <v>0.04</v>
      </c>
      <c r="F43" s="308">
        <v>4070.02</v>
      </c>
      <c r="G43" s="309"/>
      <c r="H43" s="3"/>
      <c r="I43" s="3"/>
      <c r="J43" s="3"/>
      <c r="K43" s="3"/>
    </row>
    <row r="44" spans="1:10" s="25" customFormat="1" ht="15">
      <c r="A44" s="9" t="s">
        <v>22</v>
      </c>
      <c r="B44" s="306" t="s">
        <v>286</v>
      </c>
      <c r="C44" s="307"/>
      <c r="D44" s="199"/>
      <c r="E44" s="199"/>
      <c r="F44" s="296">
        <f>E25*1%</f>
        <v>179.6514</v>
      </c>
      <c r="G44" s="296"/>
      <c r="H44" s="34"/>
      <c r="I44" s="34"/>
      <c r="J44" s="34"/>
    </row>
    <row r="45" s="25" customFormat="1" ht="12.75"/>
    <row r="46" spans="1:11" ht="1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25"/>
      <c r="I46" s="25"/>
      <c r="J46" s="25"/>
      <c r="K46" s="25"/>
    </row>
    <row r="47" spans="1:7" ht="15">
      <c r="A47" s="3"/>
      <c r="B47" s="3"/>
      <c r="C47" s="101"/>
      <c r="D47" s="3"/>
      <c r="E47" s="3"/>
      <c r="F47" s="4" t="s">
        <v>303</v>
      </c>
      <c r="G47" s="3"/>
    </row>
    <row r="48" spans="1:7" ht="15">
      <c r="A48" s="3" t="s">
        <v>50</v>
      </c>
      <c r="B48" s="3"/>
      <c r="C48" s="101"/>
      <c r="D48" s="3"/>
      <c r="E48" s="3"/>
      <c r="F48" s="3"/>
      <c r="G48" s="3"/>
    </row>
    <row r="49" spans="1:7" ht="15">
      <c r="A49" s="3"/>
      <c r="B49" s="3"/>
      <c r="C49" s="106" t="s">
        <v>51</v>
      </c>
      <c r="D49" s="3"/>
      <c r="E49" s="14"/>
      <c r="F49" s="14"/>
      <c r="G49" s="14"/>
    </row>
  </sheetData>
  <sheetProtection/>
  <mergeCells count="22">
    <mergeCell ref="B44:C44"/>
    <mergeCell ref="F44:G44"/>
    <mergeCell ref="B42:C42"/>
    <mergeCell ref="F42:G42"/>
    <mergeCell ref="B43:C43"/>
    <mergeCell ref="F43:G43"/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27" sqref="F27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372</v>
      </c>
      <c r="H7" s="26"/>
    </row>
    <row r="8" spans="1:8" s="25" customFormat="1" ht="12.75">
      <c r="A8" s="25" t="s">
        <v>3</v>
      </c>
      <c r="F8" s="26" t="s">
        <v>373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374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375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8.959999999999999</v>
      </c>
      <c r="D17" s="146">
        <v>365570.87</v>
      </c>
      <c r="E17" s="146">
        <v>352872.75</v>
      </c>
      <c r="F17" s="146">
        <f aca="true" t="shared" si="0" ref="F17:F24">D17</f>
        <v>365570.87</v>
      </c>
      <c r="G17" s="147">
        <f>E17-D17</f>
        <v>-12698.119999999995</v>
      </c>
      <c r="H17" s="70">
        <f>C17</f>
        <v>8.959999999999999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3.08</v>
      </c>
      <c r="D18" s="67">
        <f>D17*I18</f>
        <v>125664.98656250002</v>
      </c>
      <c r="E18" s="67">
        <f>E17*I18</f>
        <v>121300.00781250001</v>
      </c>
      <c r="F18" s="67">
        <f t="shared" si="0"/>
        <v>125664.98656250002</v>
      </c>
      <c r="G18" s="68">
        <f aca="true" t="shared" si="1" ref="G18:G26">E18-D18</f>
        <v>-4364.978750000009</v>
      </c>
      <c r="H18" s="70">
        <f>C18</f>
        <v>3.08</v>
      </c>
      <c r="I18" s="32">
        <f>H18/H17</f>
        <v>0.34375000000000006</v>
      </c>
    </row>
    <row r="19" spans="1:9" s="25" customFormat="1" ht="15">
      <c r="A19" s="8" t="s">
        <v>18</v>
      </c>
      <c r="B19" s="9" t="s">
        <v>19</v>
      </c>
      <c r="C19" s="233">
        <v>1.47</v>
      </c>
      <c r="D19" s="67">
        <f>D17*I19</f>
        <v>59976.47085937501</v>
      </c>
      <c r="E19" s="67">
        <f>E17*I19</f>
        <v>57893.18554687501</v>
      </c>
      <c r="F19" s="67">
        <f t="shared" si="0"/>
        <v>59976.47085937501</v>
      </c>
      <c r="G19" s="68">
        <f t="shared" si="1"/>
        <v>-2083.285312500004</v>
      </c>
      <c r="H19" s="70">
        <f>C19</f>
        <v>1.47</v>
      </c>
      <c r="I19" s="32">
        <f>H19/H17</f>
        <v>0.16406250000000003</v>
      </c>
    </row>
    <row r="20" spans="1:9" s="25" customFormat="1" ht="15">
      <c r="A20" s="8" t="s">
        <v>20</v>
      </c>
      <c r="B20" s="9" t="s">
        <v>21</v>
      </c>
      <c r="C20" s="233">
        <v>1.81</v>
      </c>
      <c r="D20" s="67">
        <f>D17*I20</f>
        <v>73848.579765625</v>
      </c>
      <c r="E20" s="67">
        <f>E17*I20</f>
        <v>71283.44614955358</v>
      </c>
      <c r="F20" s="67">
        <f t="shared" si="0"/>
        <v>73848.579765625</v>
      </c>
      <c r="G20" s="68">
        <f t="shared" si="1"/>
        <v>-2565.1336160714272</v>
      </c>
      <c r="H20" s="70">
        <f>C20</f>
        <v>1.81</v>
      </c>
      <c r="I20" s="32">
        <f>H20/H17</f>
        <v>0.2020089285714286</v>
      </c>
    </row>
    <row r="21" spans="1:9" s="25" customFormat="1" ht="15">
      <c r="A21" s="8" t="s">
        <v>22</v>
      </c>
      <c r="B21" s="9" t="s">
        <v>23</v>
      </c>
      <c r="C21" s="92">
        <v>2.6</v>
      </c>
      <c r="D21" s="67">
        <f>D17*I21</f>
        <v>106080.83281250001</v>
      </c>
      <c r="E21" s="67">
        <f>E17*I21</f>
        <v>102396.11049107143</v>
      </c>
      <c r="F21" s="67">
        <f t="shared" si="0"/>
        <v>106080.83281250001</v>
      </c>
      <c r="G21" s="68">
        <f t="shared" si="1"/>
        <v>-3684.722321428577</v>
      </c>
      <c r="H21" s="70">
        <f>C21</f>
        <v>2.6</v>
      </c>
      <c r="I21" s="32">
        <f>H21/H17</f>
        <v>0.29017857142857145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1.82</v>
      </c>
      <c r="D25" s="153">
        <v>74256.41</v>
      </c>
      <c r="E25" s="153">
        <v>71588.9</v>
      </c>
      <c r="F25" s="153">
        <f>F39</f>
        <v>247268.089</v>
      </c>
      <c r="G25" s="153">
        <f>E25-D25</f>
        <v>-2667.5100000000093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1650104.22</v>
      </c>
      <c r="E27" s="147">
        <f>SUM(E28:E31)</f>
        <v>1574952.05</v>
      </c>
      <c r="F27" s="147">
        <f>SUM(F28:F31)</f>
        <v>1650104.22</v>
      </c>
      <c r="G27" s="147">
        <f>SUM(G28:G31)</f>
        <v>-75152.16999999993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27080.76</v>
      </c>
      <c r="E28" s="68">
        <v>26100.69</v>
      </c>
      <c r="F28" s="68">
        <f>D28</f>
        <v>27080.76</v>
      </c>
      <c r="G28" s="68">
        <f>E28-D28</f>
        <v>-980.0699999999997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286143.52</v>
      </c>
      <c r="E29" s="68">
        <v>281648.13</v>
      </c>
      <c r="F29" s="68">
        <f>D29</f>
        <v>286143.52</v>
      </c>
      <c r="G29" s="68">
        <f>E29-D29</f>
        <v>-4495.390000000014</v>
      </c>
    </row>
    <row r="30" spans="1:7" ht="15">
      <c r="A30" s="9" t="s">
        <v>42</v>
      </c>
      <c r="B30" s="9" t="s">
        <v>170</v>
      </c>
      <c r="C30" s="182" t="s">
        <v>346</v>
      </c>
      <c r="D30" s="222">
        <v>415335.1</v>
      </c>
      <c r="E30" s="222">
        <v>419172.96</v>
      </c>
      <c r="F30" s="68">
        <f>D30</f>
        <v>415335.1</v>
      </c>
      <c r="G30" s="68">
        <f>E30-D30</f>
        <v>3837.8600000000442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921544.84</v>
      </c>
      <c r="E31" s="68">
        <v>848030.27</v>
      </c>
      <c r="F31" s="68">
        <f>D31</f>
        <v>921544.84</v>
      </c>
      <c r="G31" s="68">
        <f>E31-D31</f>
        <v>-73514.56999999995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90517.80000000005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-175679.189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SUM(F40:G46)</f>
        <v>247268.089</v>
      </c>
      <c r="G39" s="291"/>
      <c r="H39" s="59"/>
      <c r="I39" s="60"/>
      <c r="L39" s="55"/>
    </row>
    <row r="40" spans="1:12" ht="15">
      <c r="A40" s="9" t="s">
        <v>16</v>
      </c>
      <c r="B40" s="271" t="s">
        <v>552</v>
      </c>
      <c r="C40" s="273"/>
      <c r="D40" s="158" t="s">
        <v>538</v>
      </c>
      <c r="E40" s="158">
        <v>0.01</v>
      </c>
      <c r="F40" s="308">
        <v>7829.5</v>
      </c>
      <c r="G40" s="309"/>
      <c r="H40" s="61"/>
      <c r="I40" s="62"/>
      <c r="L40" s="56"/>
    </row>
    <row r="41" spans="1:12" ht="15">
      <c r="A41" s="9" t="s">
        <v>18</v>
      </c>
      <c r="B41" s="271" t="s">
        <v>553</v>
      </c>
      <c r="C41" s="273"/>
      <c r="D41" s="158" t="s">
        <v>416</v>
      </c>
      <c r="E41" s="158">
        <v>0.1</v>
      </c>
      <c r="F41" s="308">
        <v>13917.31</v>
      </c>
      <c r="G41" s="309"/>
      <c r="H41" s="90"/>
      <c r="I41" s="90"/>
      <c r="L41" s="56"/>
    </row>
    <row r="42" spans="1:12" ht="15">
      <c r="A42" s="9" t="s">
        <v>20</v>
      </c>
      <c r="B42" s="271" t="s">
        <v>554</v>
      </c>
      <c r="C42" s="273"/>
      <c r="D42" s="158" t="s">
        <v>412</v>
      </c>
      <c r="E42" s="158">
        <v>2.5</v>
      </c>
      <c r="F42" s="308">
        <v>45353.85</v>
      </c>
      <c r="G42" s="309"/>
      <c r="H42" s="90"/>
      <c r="I42" s="90"/>
      <c r="L42" s="56"/>
    </row>
    <row r="43" spans="1:12" ht="15">
      <c r="A43" s="9" t="s">
        <v>22</v>
      </c>
      <c r="B43" s="271" t="s">
        <v>555</v>
      </c>
      <c r="C43" s="273"/>
      <c r="D43" s="158" t="s">
        <v>234</v>
      </c>
      <c r="E43" s="158">
        <v>33</v>
      </c>
      <c r="F43" s="308">
        <v>13295.7</v>
      </c>
      <c r="G43" s="309"/>
      <c r="H43" s="90"/>
      <c r="I43" s="90"/>
      <c r="L43" s="56"/>
    </row>
    <row r="44" spans="1:12" ht="15">
      <c r="A44" s="9" t="s">
        <v>24</v>
      </c>
      <c r="B44" s="271" t="s">
        <v>556</v>
      </c>
      <c r="C44" s="273"/>
      <c r="D44" s="158" t="s">
        <v>412</v>
      </c>
      <c r="E44" s="158">
        <v>0.6</v>
      </c>
      <c r="F44" s="308">
        <v>6155.84</v>
      </c>
      <c r="G44" s="309"/>
      <c r="H44" s="90"/>
      <c r="I44" s="90"/>
      <c r="L44" s="56"/>
    </row>
    <row r="45" spans="1:12" ht="15">
      <c r="A45" s="9" t="s">
        <v>116</v>
      </c>
      <c r="B45" s="271" t="s">
        <v>248</v>
      </c>
      <c r="C45" s="273"/>
      <c r="D45" s="158" t="s">
        <v>234</v>
      </c>
      <c r="E45" s="158">
        <v>4</v>
      </c>
      <c r="F45" s="308">
        <v>160000</v>
      </c>
      <c r="G45" s="309"/>
      <c r="H45" s="90"/>
      <c r="I45" s="90"/>
      <c r="L45" s="56"/>
    </row>
    <row r="46" spans="1:11" s="3" customFormat="1" ht="15">
      <c r="A46" s="9" t="s">
        <v>117</v>
      </c>
      <c r="B46" s="306" t="s">
        <v>286</v>
      </c>
      <c r="C46" s="307"/>
      <c r="D46" s="199"/>
      <c r="E46" s="199"/>
      <c r="F46" s="296">
        <f>E25*1%</f>
        <v>715.889</v>
      </c>
      <c r="G46" s="296"/>
      <c r="H46" s="25"/>
      <c r="I46" s="25"/>
      <c r="J46" s="25"/>
      <c r="K46" s="25"/>
    </row>
    <row r="47" spans="1:7" s="25" customFormat="1" ht="9" customHeight="1">
      <c r="A47" s="49"/>
      <c r="B47" s="74"/>
      <c r="C47" s="74"/>
      <c r="D47" s="245"/>
      <c r="E47" s="245"/>
      <c r="F47" s="75"/>
      <c r="G47" s="75"/>
    </row>
    <row r="48" spans="1:11" s="25" customFormat="1" ht="15">
      <c r="A48" s="3" t="s">
        <v>55</v>
      </c>
      <c r="B48" s="3"/>
      <c r="C48" s="101" t="s">
        <v>49</v>
      </c>
      <c r="D48" s="3"/>
      <c r="E48" s="3"/>
      <c r="F48" s="3" t="s">
        <v>102</v>
      </c>
      <c r="G48" s="3"/>
      <c r="H48" s="3"/>
      <c r="I48" s="3"/>
      <c r="J48" s="3"/>
      <c r="K48" s="3"/>
    </row>
    <row r="49" spans="1:7" s="25" customFormat="1" ht="15">
      <c r="A49" s="3"/>
      <c r="B49" s="3"/>
      <c r="C49" s="101"/>
      <c r="D49" s="3"/>
      <c r="E49" s="3"/>
      <c r="F49" s="4" t="s">
        <v>303</v>
      </c>
      <c r="G49" s="3"/>
    </row>
    <row r="50" spans="1:10" s="25" customFormat="1" ht="15">
      <c r="A50" s="3" t="s">
        <v>50</v>
      </c>
      <c r="B50" s="3"/>
      <c r="C50" s="101"/>
      <c r="D50" s="3"/>
      <c r="E50" s="3"/>
      <c r="F50" s="3"/>
      <c r="G50" s="3"/>
      <c r="H50" s="34"/>
      <c r="I50" s="34"/>
      <c r="J50" s="34"/>
    </row>
    <row r="51" spans="1:11" ht="15">
      <c r="A51" s="3"/>
      <c r="B51" s="3"/>
      <c r="C51" s="106" t="s">
        <v>51</v>
      </c>
      <c r="D51" s="3"/>
      <c r="E51" s="14"/>
      <c r="F51" s="14"/>
      <c r="G51" s="14"/>
      <c r="H51" s="25"/>
      <c r="I51" s="25"/>
      <c r="J51" s="25"/>
      <c r="K51" s="25"/>
    </row>
    <row r="52" spans="1:1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</sheetData>
  <sheetProtection/>
  <mergeCells count="2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6:C46"/>
    <mergeCell ref="F46:G46"/>
    <mergeCell ref="B39:C39"/>
    <mergeCell ref="F39:G39"/>
    <mergeCell ref="B40:C40"/>
    <mergeCell ref="F40:G40"/>
    <mergeCell ref="B41:C41"/>
    <mergeCell ref="F41:G41"/>
    <mergeCell ref="B43:C43"/>
    <mergeCell ref="F43:G43"/>
    <mergeCell ref="B44:C44"/>
    <mergeCell ref="F44:G44"/>
    <mergeCell ref="B45:C45"/>
    <mergeCell ref="F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364</v>
      </c>
      <c r="H7" s="26"/>
    </row>
    <row r="8" spans="1:8" s="25" customFormat="1" ht="12.75">
      <c r="A8" s="25" t="s">
        <v>3</v>
      </c>
      <c r="F8" s="26" t="s">
        <v>365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362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363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8.959999999999999</v>
      </c>
      <c r="D17" s="146">
        <v>294336</v>
      </c>
      <c r="E17" s="146">
        <v>266599.76</v>
      </c>
      <c r="F17" s="146">
        <f aca="true" t="shared" si="0" ref="F17:F24">D17</f>
        <v>294336</v>
      </c>
      <c r="G17" s="147">
        <f>E17-D17</f>
        <v>-27736.23999999999</v>
      </c>
      <c r="H17" s="70">
        <f>C17</f>
        <v>8.959999999999999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3.08</v>
      </c>
      <c r="D18" s="67">
        <f>D17*I18</f>
        <v>101178.00000000001</v>
      </c>
      <c r="E18" s="67">
        <f>E17*I18</f>
        <v>91643.66750000003</v>
      </c>
      <c r="F18" s="67">
        <f t="shared" si="0"/>
        <v>101178.00000000001</v>
      </c>
      <c r="G18" s="68">
        <f aca="true" t="shared" si="1" ref="G18:G26">E18-D18</f>
        <v>-9534.33249999999</v>
      </c>
      <c r="H18" s="70">
        <f>C18</f>
        <v>3.08</v>
      </c>
      <c r="I18" s="32">
        <f>H18/H17</f>
        <v>0.34375000000000006</v>
      </c>
    </row>
    <row r="19" spans="1:9" s="25" customFormat="1" ht="15">
      <c r="A19" s="8" t="s">
        <v>18</v>
      </c>
      <c r="B19" s="9" t="s">
        <v>19</v>
      </c>
      <c r="C19" s="233">
        <v>1.47</v>
      </c>
      <c r="D19" s="67">
        <f>D17*I19</f>
        <v>48289.50000000001</v>
      </c>
      <c r="E19" s="67">
        <f>E17*I19</f>
        <v>43739.02312500001</v>
      </c>
      <c r="F19" s="67">
        <f t="shared" si="0"/>
        <v>48289.50000000001</v>
      </c>
      <c r="G19" s="68">
        <f t="shared" si="1"/>
        <v>-4550.476875</v>
      </c>
      <c r="H19" s="70">
        <f>C19</f>
        <v>1.47</v>
      </c>
      <c r="I19" s="32">
        <f>H19/H17</f>
        <v>0.16406250000000003</v>
      </c>
    </row>
    <row r="20" spans="1:9" s="25" customFormat="1" ht="15">
      <c r="A20" s="8" t="s">
        <v>20</v>
      </c>
      <c r="B20" s="9" t="s">
        <v>21</v>
      </c>
      <c r="C20" s="233">
        <v>1.81</v>
      </c>
      <c r="D20" s="67">
        <f>D17*I20</f>
        <v>59458.50000000001</v>
      </c>
      <c r="E20" s="67">
        <f>E17*I20</f>
        <v>53855.53187500001</v>
      </c>
      <c r="F20" s="67">
        <f t="shared" si="0"/>
        <v>59458.50000000001</v>
      </c>
      <c r="G20" s="68">
        <f t="shared" si="1"/>
        <v>-5602.968124999999</v>
      </c>
      <c r="H20" s="70">
        <f>C20</f>
        <v>1.81</v>
      </c>
      <c r="I20" s="32">
        <f>H20/H17</f>
        <v>0.2020089285714286</v>
      </c>
    </row>
    <row r="21" spans="1:9" s="25" customFormat="1" ht="15">
      <c r="A21" s="8" t="s">
        <v>22</v>
      </c>
      <c r="B21" s="9" t="s">
        <v>23</v>
      </c>
      <c r="C21" s="92">
        <v>2.6</v>
      </c>
      <c r="D21" s="67">
        <f>D17*I21</f>
        <v>85410</v>
      </c>
      <c r="E21" s="67">
        <f>E17*I21</f>
        <v>77361.5375</v>
      </c>
      <c r="F21" s="67">
        <f t="shared" si="0"/>
        <v>85410</v>
      </c>
      <c r="G21" s="68">
        <f t="shared" si="1"/>
        <v>-8048.462499999994</v>
      </c>
      <c r="H21" s="70">
        <f>C21</f>
        <v>2.6</v>
      </c>
      <c r="I21" s="32">
        <f>H21/H17</f>
        <v>0.29017857142857145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1.82</v>
      </c>
      <c r="D25" s="153">
        <v>59786.9</v>
      </c>
      <c r="E25" s="153">
        <v>54286.81</v>
      </c>
      <c r="F25" s="153">
        <f>F39</f>
        <v>48502.9681</v>
      </c>
      <c r="G25" s="153">
        <f>E25-D25</f>
        <v>-5500.090000000004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1467144.48</v>
      </c>
      <c r="E27" s="147">
        <f>SUM(E28:E31)</f>
        <v>1367772.24</v>
      </c>
      <c r="F27" s="147">
        <f>SUM(F28:F31)</f>
        <v>1467144.48</v>
      </c>
      <c r="G27" s="147">
        <f>SUM(G28:G31)</f>
        <v>-99372.23999999999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21526.02</v>
      </c>
      <c r="E28" s="68">
        <v>19543.49</v>
      </c>
      <c r="F28" s="68">
        <f>D28</f>
        <v>21526.02</v>
      </c>
      <c r="G28" s="68">
        <f>E28-D28</f>
        <v>-1982.5299999999988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215149.26</v>
      </c>
      <c r="E29" s="68">
        <v>204228.42</v>
      </c>
      <c r="F29" s="68">
        <f>D29</f>
        <v>215149.26</v>
      </c>
      <c r="G29" s="68">
        <f>E29-D29</f>
        <v>-10920.839999999997</v>
      </c>
    </row>
    <row r="30" spans="1:7" ht="15">
      <c r="A30" s="9" t="s">
        <v>42</v>
      </c>
      <c r="B30" s="9" t="s">
        <v>170</v>
      </c>
      <c r="C30" s="182" t="s">
        <v>346</v>
      </c>
      <c r="D30" s="222">
        <v>404823.87</v>
      </c>
      <c r="E30" s="222">
        <v>382672.23</v>
      </c>
      <c r="F30" s="68">
        <f>D30</f>
        <v>404823.87</v>
      </c>
      <c r="G30" s="68">
        <f>E30-D30</f>
        <v>-22151.640000000014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825645.33</v>
      </c>
      <c r="E31" s="68">
        <v>761328.1</v>
      </c>
      <c r="F31" s="68">
        <f>D31</f>
        <v>825645.33</v>
      </c>
      <c r="G31" s="68">
        <f>E31-D31</f>
        <v>-64317.22999999998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132608.56999999983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5783.841899999999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SUM(F40:G41)</f>
        <v>48502.9681</v>
      </c>
      <c r="G39" s="291"/>
      <c r="H39" s="59"/>
      <c r="I39" s="60"/>
      <c r="L39" s="55"/>
    </row>
    <row r="40" spans="1:12" ht="15">
      <c r="A40" s="9" t="s">
        <v>16</v>
      </c>
      <c r="B40" s="271" t="s">
        <v>557</v>
      </c>
      <c r="C40" s="273"/>
      <c r="D40" s="158" t="s">
        <v>238</v>
      </c>
      <c r="E40" s="158">
        <v>1</v>
      </c>
      <c r="F40" s="308">
        <v>47960.1</v>
      </c>
      <c r="G40" s="309"/>
      <c r="H40" s="61"/>
      <c r="I40" s="62"/>
      <c r="L40" s="56"/>
    </row>
    <row r="41" spans="1:11" s="3" customFormat="1" ht="15">
      <c r="A41" s="9" t="s">
        <v>18</v>
      </c>
      <c r="B41" s="306" t="s">
        <v>286</v>
      </c>
      <c r="C41" s="307"/>
      <c r="D41" s="199"/>
      <c r="E41" s="199"/>
      <c r="F41" s="296">
        <f>E25*1%</f>
        <v>542.8681</v>
      </c>
      <c r="G41" s="296"/>
      <c r="H41" s="25"/>
      <c r="I41" s="25"/>
      <c r="J41" s="25"/>
      <c r="K41" s="25"/>
    </row>
    <row r="42" s="25" customFormat="1" ht="9" customHeight="1"/>
    <row r="43" spans="1:11" s="25" customFormat="1" ht="15">
      <c r="A43" s="3" t="s">
        <v>55</v>
      </c>
      <c r="B43" s="3"/>
      <c r="C43" s="101" t="s">
        <v>49</v>
      </c>
      <c r="D43" s="3"/>
      <c r="E43" s="3"/>
      <c r="F43" s="3" t="s">
        <v>102</v>
      </c>
      <c r="G43" s="3"/>
      <c r="H43" s="3"/>
      <c r="I43" s="3"/>
      <c r="J43" s="3"/>
      <c r="K43" s="3"/>
    </row>
    <row r="44" spans="1:7" s="25" customFormat="1" ht="15">
      <c r="A44" s="3"/>
      <c r="B44" s="3"/>
      <c r="C44" s="101"/>
      <c r="D44" s="3"/>
      <c r="E44" s="3"/>
      <c r="F44" s="4" t="s">
        <v>303</v>
      </c>
      <c r="G44" s="3"/>
    </row>
    <row r="45" spans="1:10" s="25" customFormat="1" ht="1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1" ht="15">
      <c r="A46" s="3"/>
      <c r="B46" s="3"/>
      <c r="C46" s="106" t="s">
        <v>51</v>
      </c>
      <c r="D46" s="3"/>
      <c r="E46" s="14"/>
      <c r="F46" s="14"/>
      <c r="G46" s="14"/>
      <c r="H46" s="25"/>
      <c r="I46" s="25"/>
      <c r="J46" s="25"/>
      <c r="K46" s="25"/>
    </row>
    <row r="47" spans="1:1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E23" sqref="E23"/>
    </sheetView>
  </sheetViews>
  <sheetFormatPr defaultColWidth="9.140625" defaultRowHeight="15" outlineLevelCol="1"/>
  <cols>
    <col min="1" max="1" width="4.7109375" style="1" customWidth="1"/>
    <col min="2" max="2" width="48.28125" style="1" customWidth="1"/>
    <col min="3" max="3" width="12.7109375" style="1" customWidth="1"/>
    <col min="4" max="4" width="13.57421875" style="1" customWidth="1"/>
    <col min="5" max="5" width="15.57421875" style="1" customWidth="1"/>
    <col min="6" max="6" width="12.14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7109375" style="1" bestFit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5" s="3" customFormat="1" ht="16.5" customHeight="1">
      <c r="A7" s="3" t="s">
        <v>2</v>
      </c>
      <c r="E7" s="4" t="s">
        <v>62</v>
      </c>
    </row>
    <row r="8" spans="1:5" s="3" customFormat="1" ht="15">
      <c r="A8" s="3" t="s">
        <v>3</v>
      </c>
      <c r="E8" s="4" t="s">
        <v>63</v>
      </c>
    </row>
    <row r="9" s="3" customFormat="1" ht="15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-2379.06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305</v>
      </c>
      <c r="B15" s="43"/>
      <c r="C15" s="43"/>
      <c r="D15" s="44"/>
      <c r="E15" s="45"/>
      <c r="F15" s="45"/>
      <c r="G15" s="38">
        <v>23604.83</v>
      </c>
      <c r="H15" s="40"/>
      <c r="I15" s="40"/>
    </row>
    <row r="16" spans="1:9" s="15" customFormat="1" ht="15.75" thickBot="1">
      <c r="A16" s="87" t="s">
        <v>306</v>
      </c>
      <c r="B16" s="43"/>
      <c r="C16" s="43"/>
      <c r="D16" s="44"/>
      <c r="E16" s="45"/>
      <c r="F16" s="45"/>
      <c r="G16" s="38">
        <v>-81595.04</v>
      </c>
      <c r="H16" s="40"/>
      <c r="I16" s="40"/>
    </row>
    <row r="17" s="3" customFormat="1" ht="9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14.25">
      <c r="A19" s="163" t="s">
        <v>14</v>
      </c>
      <c r="B19" s="129" t="s">
        <v>15</v>
      </c>
      <c r="C19" s="145">
        <f>C20+C21+C22+C23</f>
        <v>9.350000000000001</v>
      </c>
      <c r="D19" s="146">
        <v>112795.44</v>
      </c>
      <c r="E19" s="146">
        <v>112984.04</v>
      </c>
      <c r="F19" s="146">
        <f>D19</f>
        <v>112795.44</v>
      </c>
      <c r="G19" s="147">
        <f aca="true" t="shared" si="0" ref="G19:G28">E19-D19</f>
        <v>188.59999999999127</v>
      </c>
      <c r="H19" s="148">
        <f>C19</f>
        <v>9.350000000000001</v>
      </c>
    </row>
    <row r="20" spans="1:9" s="3" customFormat="1" ht="14.25" customHeight="1">
      <c r="A20" s="8" t="s">
        <v>16</v>
      </c>
      <c r="B20" s="9" t="s">
        <v>17</v>
      </c>
      <c r="C20" s="139">
        <v>3.22</v>
      </c>
      <c r="D20" s="67">
        <f>D19*I20</f>
        <v>38845.06062032085</v>
      </c>
      <c r="E20" s="67">
        <f>E19*I20</f>
        <v>38910.01163636363</v>
      </c>
      <c r="F20" s="67">
        <f>D20</f>
        <v>38845.06062032085</v>
      </c>
      <c r="G20" s="68">
        <f t="shared" si="0"/>
        <v>64.9510160427817</v>
      </c>
      <c r="H20" s="143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18457.435636363633</v>
      </c>
      <c r="E21" s="67">
        <f>E19*I21</f>
        <v>18488.29745454545</v>
      </c>
      <c r="F21" s="67">
        <f>D21</f>
        <v>18457.435636363633</v>
      </c>
      <c r="G21" s="68">
        <f t="shared" si="0"/>
        <v>30.86181818181649</v>
      </c>
      <c r="H21" s="143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22800.361668449197</v>
      </c>
      <c r="E22" s="67">
        <f>E19*I22</f>
        <v>22838.48509090909</v>
      </c>
      <c r="F22" s="67">
        <f>D22</f>
        <v>22800.361668449197</v>
      </c>
      <c r="G22" s="68">
        <f t="shared" si="0"/>
        <v>38.123422459892026</v>
      </c>
      <c r="H22" s="143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32692.582074866306</v>
      </c>
      <c r="E23" s="67">
        <f>E19*I23</f>
        <v>32747.24581818181</v>
      </c>
      <c r="F23" s="67">
        <f>D23</f>
        <v>32692.582074866306</v>
      </c>
      <c r="G23" s="68">
        <f t="shared" si="0"/>
        <v>54.66374331550469</v>
      </c>
      <c r="H23" s="143">
        <f>C23</f>
        <v>2.71</v>
      </c>
      <c r="I23" s="15">
        <f>H23/H19</f>
        <v>0.28983957219251333</v>
      </c>
    </row>
    <row r="24" spans="1:7" s="162" customFormat="1" ht="14.25">
      <c r="A24" s="129" t="s">
        <v>25</v>
      </c>
      <c r="B24" s="151" t="s">
        <v>26</v>
      </c>
      <c r="C24" s="152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52">
        <v>0</v>
      </c>
      <c r="D25" s="147">
        <v>0</v>
      </c>
      <c r="E25" s="147">
        <v>312.43</v>
      </c>
      <c r="F25" s="146">
        <f>D25</f>
        <v>0</v>
      </c>
      <c r="G25" s="147">
        <f t="shared" si="0"/>
        <v>312.43</v>
      </c>
    </row>
    <row r="26" spans="1:7" s="162" customFormat="1" ht="14.2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6">
        <f t="shared" si="1"/>
        <v>0</v>
      </c>
      <c r="G26" s="147">
        <f t="shared" si="0"/>
        <v>0</v>
      </c>
    </row>
    <row r="27" spans="1:13" s="162" customFormat="1" ht="14.25">
      <c r="A27" s="129" t="s">
        <v>31</v>
      </c>
      <c r="B27" s="151" t="s">
        <v>131</v>
      </c>
      <c r="C27" s="152">
        <v>1.92</v>
      </c>
      <c r="D27" s="147">
        <v>23162.04</v>
      </c>
      <c r="E27" s="147">
        <v>23199.47</v>
      </c>
      <c r="F27" s="146">
        <f>F44</f>
        <v>29426.054699999997</v>
      </c>
      <c r="G27" s="147">
        <f t="shared" si="0"/>
        <v>37.43000000000029</v>
      </c>
      <c r="M27" s="193"/>
    </row>
    <row r="28" spans="1:7" s="162" customFormat="1" ht="14.25">
      <c r="A28" s="129" t="s">
        <v>33</v>
      </c>
      <c r="B28" s="36" t="s">
        <v>34</v>
      </c>
      <c r="C28" s="145">
        <v>0</v>
      </c>
      <c r="D28" s="147">
        <v>0</v>
      </c>
      <c r="E28" s="147">
        <v>0</v>
      </c>
      <c r="F28" s="146">
        <f>D28</f>
        <v>0</v>
      </c>
      <c r="G28" s="147">
        <f t="shared" si="0"/>
        <v>0</v>
      </c>
    </row>
    <row r="29" spans="1:7" s="162" customFormat="1" ht="14.25">
      <c r="A29" s="129" t="s">
        <v>35</v>
      </c>
      <c r="B29" s="36" t="s">
        <v>36</v>
      </c>
      <c r="C29" s="145"/>
      <c r="D29" s="147">
        <f>SUM(D30:D33)</f>
        <v>459236.09</v>
      </c>
      <c r="E29" s="147">
        <f>SUM(E30:E33)</f>
        <v>448327.41000000003</v>
      </c>
      <c r="F29" s="146">
        <f t="shared" si="1"/>
        <v>459236.09</v>
      </c>
      <c r="G29" s="147">
        <f>SUM(G30:G33)</f>
        <v>-10908.679999999997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3342.38</v>
      </c>
      <c r="E30" s="68">
        <v>3371.26</v>
      </c>
      <c r="F30" s="67">
        <f>D30</f>
        <v>3342.38</v>
      </c>
      <c r="G30" s="68">
        <f>E30-D30</f>
        <v>28.88000000000011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71955.02</v>
      </c>
      <c r="E31" s="68">
        <v>70765.07</v>
      </c>
      <c r="F31" s="67">
        <f t="shared" si="1"/>
        <v>71955.02</v>
      </c>
      <c r="G31" s="68">
        <f>E31-D31</f>
        <v>-1189.949999999997</v>
      </c>
    </row>
    <row r="32" spans="1:7" s="97" customFormat="1" ht="15">
      <c r="A32" s="95" t="s">
        <v>42</v>
      </c>
      <c r="B32" s="9" t="s">
        <v>40</v>
      </c>
      <c r="C32" s="182" t="s">
        <v>346</v>
      </c>
      <c r="D32" s="96">
        <v>127534.12</v>
      </c>
      <c r="E32" s="96">
        <v>115893.49</v>
      </c>
      <c r="F32" s="67">
        <f t="shared" si="1"/>
        <v>127534.12</v>
      </c>
      <c r="G32" s="96">
        <f>E32-D32</f>
        <v>-11640.62999999999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256404.57</v>
      </c>
      <c r="E33" s="68">
        <v>258297.59</v>
      </c>
      <c r="F33" s="67">
        <f t="shared" si="1"/>
        <v>256404.57</v>
      </c>
      <c r="G33" s="68">
        <f>E33-D33</f>
        <v>1893.0199999999895</v>
      </c>
    </row>
    <row r="34" spans="1:10" s="20" customFormat="1" ht="9.7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7991.160000000033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23604.83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-87821.62469999999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2:5" ht="7.5" customHeight="1">
      <c r="B40" s="13"/>
      <c r="C40" s="13"/>
      <c r="D40" s="13"/>
      <c r="E40" s="13"/>
    </row>
    <row r="41" spans="1:9" ht="24" customHeight="1">
      <c r="A41" s="267" t="s">
        <v>44</v>
      </c>
      <c r="B41" s="267"/>
      <c r="C41" s="267"/>
      <c r="D41" s="267"/>
      <c r="E41" s="267"/>
      <c r="F41" s="267"/>
      <c r="G41" s="267"/>
      <c r="H41" s="267"/>
      <c r="I41" s="267"/>
    </row>
    <row r="43" spans="1:7" s="7" customFormat="1" ht="28.5" customHeight="1">
      <c r="A43" s="5" t="s">
        <v>11</v>
      </c>
      <c r="B43" s="285" t="s">
        <v>45</v>
      </c>
      <c r="C43" s="286"/>
      <c r="D43" s="5" t="s">
        <v>232</v>
      </c>
      <c r="E43" s="5" t="s">
        <v>231</v>
      </c>
      <c r="F43" s="285" t="s">
        <v>46</v>
      </c>
      <c r="G43" s="291"/>
    </row>
    <row r="44" spans="1:7" s="12" customFormat="1" ht="13.5" customHeight="1">
      <c r="A44" s="11" t="s">
        <v>47</v>
      </c>
      <c r="B44" s="287" t="s">
        <v>126</v>
      </c>
      <c r="C44" s="288"/>
      <c r="D44" s="169"/>
      <c r="E44" s="169"/>
      <c r="F44" s="295">
        <f>SUM(F45:G47)</f>
        <v>29426.054699999997</v>
      </c>
      <c r="G44" s="291"/>
    </row>
    <row r="45" spans="1:7" ht="13.5" customHeight="1">
      <c r="A45" s="9" t="s">
        <v>16</v>
      </c>
      <c r="B45" s="271" t="s">
        <v>442</v>
      </c>
      <c r="C45" s="273"/>
      <c r="D45" s="168" t="s">
        <v>234</v>
      </c>
      <c r="E45" s="168">
        <v>1</v>
      </c>
      <c r="F45" s="294">
        <v>15130</v>
      </c>
      <c r="G45" s="294"/>
    </row>
    <row r="46" spans="1:7" s="48" customFormat="1" ht="13.5" customHeight="1">
      <c r="A46" s="47" t="s">
        <v>18</v>
      </c>
      <c r="B46" s="271" t="s">
        <v>443</v>
      </c>
      <c r="C46" s="273"/>
      <c r="D46" s="183" t="s">
        <v>426</v>
      </c>
      <c r="E46" s="181">
        <v>9.8</v>
      </c>
      <c r="F46" s="296">
        <v>14064.06</v>
      </c>
      <c r="G46" s="296"/>
    </row>
    <row r="47" spans="1:7" s="48" customFormat="1" ht="13.5" customHeight="1">
      <c r="A47" s="9" t="s">
        <v>20</v>
      </c>
      <c r="B47" s="306" t="s">
        <v>286</v>
      </c>
      <c r="C47" s="307"/>
      <c r="D47" s="181"/>
      <c r="E47" s="181"/>
      <c r="F47" s="296">
        <f>E27*1%</f>
        <v>231.99470000000002</v>
      </c>
      <c r="G47" s="296"/>
    </row>
    <row r="48" s="3" customFormat="1" ht="15"/>
    <row r="49" spans="1:6" s="3" customFormat="1" ht="15">
      <c r="A49" s="3" t="s">
        <v>55</v>
      </c>
      <c r="C49" s="3" t="s">
        <v>49</v>
      </c>
      <c r="F49" s="3" t="s">
        <v>102</v>
      </c>
    </row>
    <row r="50" s="3" customFormat="1" ht="13.5" customHeight="1">
      <c r="F50" s="4" t="s">
        <v>303</v>
      </c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0">
    <mergeCell ref="A35:C35"/>
    <mergeCell ref="F44:G44"/>
    <mergeCell ref="F45:G45"/>
    <mergeCell ref="A41:I41"/>
    <mergeCell ref="F47:G47"/>
    <mergeCell ref="B46:C46"/>
    <mergeCell ref="F43:G43"/>
    <mergeCell ref="F46:G46"/>
    <mergeCell ref="B43:C43"/>
    <mergeCell ref="B44:C44"/>
    <mergeCell ref="B47:C47"/>
    <mergeCell ref="A11:I11"/>
    <mergeCell ref="B45:C45"/>
    <mergeCell ref="A1:I1"/>
    <mergeCell ref="A2:I2"/>
    <mergeCell ref="A5:I5"/>
    <mergeCell ref="A10:I10"/>
    <mergeCell ref="A3:K3"/>
    <mergeCell ref="A13:C13"/>
    <mergeCell ref="A12:I12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26" sqref="F26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376</v>
      </c>
      <c r="H7" s="26"/>
    </row>
    <row r="8" spans="1:8" s="25" customFormat="1" ht="12.75">
      <c r="A8" s="25" t="s">
        <v>3</v>
      </c>
      <c r="F8" s="26" t="s">
        <v>377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374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375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8.959999999999999</v>
      </c>
      <c r="D17" s="146">
        <v>273330.36</v>
      </c>
      <c r="E17" s="146">
        <v>230778.24</v>
      </c>
      <c r="F17" s="146">
        <f aca="true" t="shared" si="0" ref="F17:F24">D17</f>
        <v>273330.36</v>
      </c>
      <c r="G17" s="147">
        <f>E17-D17</f>
        <v>-42552.119999999995</v>
      </c>
      <c r="H17" s="70">
        <f>C17</f>
        <v>8.959999999999999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3.08</v>
      </c>
      <c r="D18" s="67">
        <f>D17*I18</f>
        <v>93957.31125000001</v>
      </c>
      <c r="E18" s="67">
        <f>E17*I18</f>
        <v>79330.02</v>
      </c>
      <c r="F18" s="67">
        <f t="shared" si="0"/>
        <v>93957.31125000001</v>
      </c>
      <c r="G18" s="68">
        <f aca="true" t="shared" si="1" ref="G18:G26">E18-D18</f>
        <v>-14627.29125000001</v>
      </c>
      <c r="H18" s="70">
        <f>C18</f>
        <v>3.08</v>
      </c>
      <c r="I18" s="32">
        <f>H18/H17</f>
        <v>0.34375000000000006</v>
      </c>
    </row>
    <row r="19" spans="1:9" s="25" customFormat="1" ht="15">
      <c r="A19" s="8" t="s">
        <v>18</v>
      </c>
      <c r="B19" s="9" t="s">
        <v>19</v>
      </c>
      <c r="C19" s="233">
        <v>1.47</v>
      </c>
      <c r="D19" s="67">
        <f>D17*I19</f>
        <v>44843.262187500004</v>
      </c>
      <c r="E19" s="67">
        <f>E17*I19</f>
        <v>37862.05500000001</v>
      </c>
      <c r="F19" s="67">
        <f t="shared" si="0"/>
        <v>44843.262187500004</v>
      </c>
      <c r="G19" s="68">
        <f t="shared" si="1"/>
        <v>-6981.2071874999965</v>
      </c>
      <c r="H19" s="70">
        <f>C19</f>
        <v>1.47</v>
      </c>
      <c r="I19" s="32">
        <f>H19/H17</f>
        <v>0.16406250000000003</v>
      </c>
    </row>
    <row r="20" spans="1:9" s="25" customFormat="1" ht="15">
      <c r="A20" s="8" t="s">
        <v>20</v>
      </c>
      <c r="B20" s="9" t="s">
        <v>21</v>
      </c>
      <c r="C20" s="233">
        <v>1.81</v>
      </c>
      <c r="D20" s="67">
        <f>D17*I20</f>
        <v>55215.17316964286</v>
      </c>
      <c r="E20" s="67">
        <f>E17*I20</f>
        <v>46619.26500000001</v>
      </c>
      <c r="F20" s="67">
        <f t="shared" si="0"/>
        <v>55215.17316964286</v>
      </c>
      <c r="G20" s="68">
        <f t="shared" si="1"/>
        <v>-8595.908169642855</v>
      </c>
      <c r="H20" s="70">
        <f>C20</f>
        <v>1.81</v>
      </c>
      <c r="I20" s="32">
        <f>H20/H17</f>
        <v>0.2020089285714286</v>
      </c>
    </row>
    <row r="21" spans="1:9" s="25" customFormat="1" ht="15">
      <c r="A21" s="8" t="s">
        <v>22</v>
      </c>
      <c r="B21" s="9" t="s">
        <v>23</v>
      </c>
      <c r="C21" s="92">
        <v>2.6</v>
      </c>
      <c r="D21" s="67">
        <f>D17*I21</f>
        <v>79314.61339285715</v>
      </c>
      <c r="E21" s="67">
        <f>E17*I21</f>
        <v>66966.90000000001</v>
      </c>
      <c r="F21" s="67">
        <f t="shared" si="0"/>
        <v>79314.61339285715</v>
      </c>
      <c r="G21" s="68">
        <f t="shared" si="1"/>
        <v>-12347.713392857142</v>
      </c>
      <c r="H21" s="70">
        <f>C21</f>
        <v>2.6</v>
      </c>
      <c r="I21" s="32">
        <f>H21/H17</f>
        <v>0.29017857142857145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1.82</v>
      </c>
      <c r="D25" s="153">
        <v>55520.37</v>
      </c>
      <c r="E25" s="153">
        <v>46877</v>
      </c>
      <c r="F25" s="153">
        <f>F39</f>
        <v>158281.72</v>
      </c>
      <c r="G25" s="153">
        <f>E25-D25</f>
        <v>-8643.370000000003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1441412.88</v>
      </c>
      <c r="E27" s="147">
        <f>SUM(E28:E31)</f>
        <v>1248302.17</v>
      </c>
      <c r="F27" s="147">
        <f>SUM(F28:F31)</f>
        <v>1441412.88</v>
      </c>
      <c r="G27" s="147">
        <f>SUM(G28:G31)</f>
        <v>-193110.70999999993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20871.6</v>
      </c>
      <c r="E28" s="68">
        <v>17630.91</v>
      </c>
      <c r="F28" s="68">
        <f>D28</f>
        <v>20871.6</v>
      </c>
      <c r="G28" s="68">
        <f>E28-D28</f>
        <v>-3240.6899999999987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299397.7</v>
      </c>
      <c r="E29" s="68">
        <v>260977.28</v>
      </c>
      <c r="F29" s="68">
        <f>D29</f>
        <v>299397.7</v>
      </c>
      <c r="G29" s="68">
        <f>E29-D29</f>
        <v>-38420.42000000001</v>
      </c>
    </row>
    <row r="30" spans="1:7" ht="15">
      <c r="A30" s="9" t="s">
        <v>42</v>
      </c>
      <c r="B30" s="9" t="s">
        <v>170</v>
      </c>
      <c r="C30" s="182" t="s">
        <v>346</v>
      </c>
      <c r="D30" s="222">
        <v>462685.99</v>
      </c>
      <c r="E30" s="222">
        <v>395205.42</v>
      </c>
      <c r="F30" s="68">
        <f>D30</f>
        <v>462685.99</v>
      </c>
      <c r="G30" s="68">
        <f>E30-D30</f>
        <v>-67480.57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658457.59</v>
      </c>
      <c r="E31" s="68">
        <v>574488.56</v>
      </c>
      <c r="F31" s="68">
        <f>D31</f>
        <v>658457.59</v>
      </c>
      <c r="G31" s="68">
        <f>E31-D31</f>
        <v>-83969.02999999991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244306.19999999995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-111404.72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SUM(F40:G48)</f>
        <v>158281.72</v>
      </c>
      <c r="G39" s="291"/>
      <c r="H39" s="59"/>
      <c r="I39" s="60"/>
      <c r="L39" s="55"/>
    </row>
    <row r="40" spans="1:12" ht="15">
      <c r="A40" s="9" t="s">
        <v>16</v>
      </c>
      <c r="B40" s="271" t="s">
        <v>558</v>
      </c>
      <c r="C40" s="273"/>
      <c r="D40" s="158" t="s">
        <v>416</v>
      </c>
      <c r="E40" s="158">
        <v>0.06</v>
      </c>
      <c r="F40" s="308">
        <v>5818.08</v>
      </c>
      <c r="G40" s="309"/>
      <c r="H40" s="61"/>
      <c r="I40" s="62"/>
      <c r="L40" s="56"/>
    </row>
    <row r="41" spans="1:12" ht="15">
      <c r="A41" s="9" t="s">
        <v>18</v>
      </c>
      <c r="B41" s="271" t="s">
        <v>559</v>
      </c>
      <c r="C41" s="273"/>
      <c r="D41" s="158" t="s">
        <v>416</v>
      </c>
      <c r="E41" s="158">
        <v>0.01</v>
      </c>
      <c r="F41" s="308">
        <v>336.44</v>
      </c>
      <c r="G41" s="309"/>
      <c r="H41" s="90"/>
      <c r="I41" s="90"/>
      <c r="L41" s="56"/>
    </row>
    <row r="42" spans="1:12" ht="15">
      <c r="A42" s="9" t="s">
        <v>20</v>
      </c>
      <c r="B42" s="271" t="s">
        <v>248</v>
      </c>
      <c r="C42" s="273"/>
      <c r="D42" s="158" t="s">
        <v>412</v>
      </c>
      <c r="E42" s="158">
        <v>0.2</v>
      </c>
      <c r="F42" s="308">
        <v>4107.61</v>
      </c>
      <c r="G42" s="309"/>
      <c r="H42" s="90"/>
      <c r="I42" s="90"/>
      <c r="L42" s="56"/>
    </row>
    <row r="43" spans="1:12" ht="15">
      <c r="A43" s="9" t="s">
        <v>22</v>
      </c>
      <c r="B43" s="271" t="s">
        <v>560</v>
      </c>
      <c r="C43" s="273"/>
      <c r="D43" s="158" t="s">
        <v>416</v>
      </c>
      <c r="E43" s="158">
        <v>0.02</v>
      </c>
      <c r="F43" s="308">
        <v>941.11</v>
      </c>
      <c r="G43" s="309"/>
      <c r="H43" s="90"/>
      <c r="I43" s="90"/>
      <c r="L43" s="56"/>
    </row>
    <row r="44" spans="1:12" ht="15">
      <c r="A44" s="9" t="s">
        <v>24</v>
      </c>
      <c r="B44" s="271" t="s">
        <v>561</v>
      </c>
      <c r="C44" s="273"/>
      <c r="D44" s="158" t="s">
        <v>410</v>
      </c>
      <c r="E44" s="158">
        <v>0.01</v>
      </c>
      <c r="F44" s="308">
        <v>986.69</v>
      </c>
      <c r="G44" s="309"/>
      <c r="H44" s="90"/>
      <c r="I44" s="90"/>
      <c r="L44" s="56"/>
    </row>
    <row r="45" spans="1:12" ht="15">
      <c r="A45" s="9" t="s">
        <v>116</v>
      </c>
      <c r="B45" s="271" t="s">
        <v>562</v>
      </c>
      <c r="C45" s="273"/>
      <c r="D45" s="158" t="s">
        <v>410</v>
      </c>
      <c r="E45" s="158">
        <v>0.01</v>
      </c>
      <c r="F45" s="308">
        <v>1375.53</v>
      </c>
      <c r="G45" s="309"/>
      <c r="H45" s="90"/>
      <c r="I45" s="90"/>
      <c r="L45" s="56"/>
    </row>
    <row r="46" spans="1:12" ht="15">
      <c r="A46" s="9" t="s">
        <v>117</v>
      </c>
      <c r="B46" s="271" t="s">
        <v>240</v>
      </c>
      <c r="C46" s="273"/>
      <c r="D46" s="158" t="s">
        <v>412</v>
      </c>
      <c r="E46" s="158">
        <v>2</v>
      </c>
      <c r="F46" s="308">
        <v>126247.49</v>
      </c>
      <c r="G46" s="309"/>
      <c r="H46" s="90"/>
      <c r="I46" s="90"/>
      <c r="L46" s="56"/>
    </row>
    <row r="47" spans="1:12" ht="15">
      <c r="A47" s="9" t="s">
        <v>116</v>
      </c>
      <c r="B47" s="271" t="s">
        <v>563</v>
      </c>
      <c r="C47" s="273"/>
      <c r="D47" s="158"/>
      <c r="E47" s="158"/>
      <c r="F47" s="308">
        <v>18000</v>
      </c>
      <c r="G47" s="309"/>
      <c r="H47" s="90"/>
      <c r="I47" s="90"/>
      <c r="L47" s="56"/>
    </row>
    <row r="48" spans="1:11" s="3" customFormat="1" ht="15">
      <c r="A48" s="9" t="s">
        <v>20</v>
      </c>
      <c r="B48" s="306" t="s">
        <v>286</v>
      </c>
      <c r="C48" s="307"/>
      <c r="D48" s="199"/>
      <c r="E48" s="199"/>
      <c r="F48" s="296">
        <f>E25*1%</f>
        <v>468.77</v>
      </c>
      <c r="G48" s="296"/>
      <c r="H48" s="25"/>
      <c r="I48" s="25"/>
      <c r="J48" s="25"/>
      <c r="K48" s="25"/>
    </row>
    <row r="49" s="25" customFormat="1" ht="9" customHeight="1"/>
    <row r="50" spans="1:11" s="25" customFormat="1" ht="15">
      <c r="A50" s="3" t="s">
        <v>55</v>
      </c>
      <c r="B50" s="3"/>
      <c r="C50" s="101" t="s">
        <v>49</v>
      </c>
      <c r="D50" s="3"/>
      <c r="E50" s="3"/>
      <c r="F50" s="3" t="s">
        <v>102</v>
      </c>
      <c r="G50" s="3"/>
      <c r="H50" s="3"/>
      <c r="I50" s="3"/>
      <c r="J50" s="3"/>
      <c r="K50" s="3"/>
    </row>
    <row r="51" spans="1:7" s="25" customFormat="1" ht="15">
      <c r="A51" s="3"/>
      <c r="B51" s="3"/>
      <c r="C51" s="101"/>
      <c r="D51" s="3"/>
      <c r="E51" s="3"/>
      <c r="F51" s="4" t="s">
        <v>303</v>
      </c>
      <c r="G51" s="3"/>
    </row>
    <row r="52" spans="1:10" s="25" customFormat="1" ht="15">
      <c r="A52" s="3" t="s">
        <v>50</v>
      </c>
      <c r="B52" s="3"/>
      <c r="C52" s="101"/>
      <c r="D52" s="3"/>
      <c r="E52" s="3"/>
      <c r="F52" s="3"/>
      <c r="G52" s="3"/>
      <c r="H52" s="34"/>
      <c r="I52" s="34"/>
      <c r="J52" s="34"/>
    </row>
    <row r="53" spans="1:11" ht="15">
      <c r="A53" s="3"/>
      <c r="B53" s="3"/>
      <c r="C53" s="106" t="s">
        <v>51</v>
      </c>
      <c r="D53" s="3"/>
      <c r="E53" s="14"/>
      <c r="F53" s="14"/>
      <c r="G53" s="14"/>
      <c r="H53" s="25"/>
      <c r="I53" s="25"/>
      <c r="J53" s="25"/>
      <c r="K53" s="25"/>
    </row>
    <row r="54" spans="1:1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</sheetData>
  <sheetProtection/>
  <mergeCells count="32">
    <mergeCell ref="B46:C46"/>
    <mergeCell ref="F46:G46"/>
    <mergeCell ref="B47:C47"/>
    <mergeCell ref="F47:G47"/>
    <mergeCell ref="B43:C43"/>
    <mergeCell ref="F43:G43"/>
    <mergeCell ref="B44:C44"/>
    <mergeCell ref="F44:G44"/>
    <mergeCell ref="B45:C45"/>
    <mergeCell ref="F45:G45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8:C48"/>
    <mergeCell ref="F48:G48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F47" sqref="F47:G47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360</v>
      </c>
      <c r="H7" s="26"/>
    </row>
    <row r="8" spans="1:8" s="25" customFormat="1" ht="12.75">
      <c r="A8" s="25" t="s">
        <v>3</v>
      </c>
      <c r="F8" s="26" t="s">
        <v>361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362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363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431302.25</v>
      </c>
      <c r="E17" s="146">
        <v>383839.17</v>
      </c>
      <c r="F17" s="146">
        <f aca="true" t="shared" si="0" ref="F17:F24">D17</f>
        <v>431302.25</v>
      </c>
      <c r="G17" s="147">
        <f>E17-D17</f>
        <v>-47463.080000000016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148534.03689839575</v>
      </c>
      <c r="E18" s="67">
        <f>E17*I18</f>
        <v>132188.4628235294</v>
      </c>
      <c r="F18" s="67">
        <f t="shared" si="0"/>
        <v>148534.03689839575</v>
      </c>
      <c r="G18" s="68">
        <f aca="true" t="shared" si="1" ref="G18:G26">E18-D18</f>
        <v>-16345.574074866337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70576.73181818181</v>
      </c>
      <c r="E19" s="67">
        <f>E17*I19</f>
        <v>62810.045999999995</v>
      </c>
      <c r="F19" s="67">
        <f t="shared" si="0"/>
        <v>70576.73181818181</v>
      </c>
      <c r="G19" s="68">
        <f t="shared" si="1"/>
        <v>-7766.685818181817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87183.02165775401</v>
      </c>
      <c r="E20" s="67">
        <f>E17*I20</f>
        <v>77588.88035294118</v>
      </c>
      <c r="F20" s="67">
        <f t="shared" si="0"/>
        <v>87183.02165775401</v>
      </c>
      <c r="G20" s="68">
        <f t="shared" si="1"/>
        <v>-9594.14130481283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125008.45962566846</v>
      </c>
      <c r="E21" s="67">
        <f>E17*I21</f>
        <v>111251.7808235294</v>
      </c>
      <c r="F21" s="67">
        <f t="shared" si="0"/>
        <v>125008.45962566846</v>
      </c>
      <c r="G21" s="68">
        <f t="shared" si="1"/>
        <v>-13756.678802139053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1.92</v>
      </c>
      <c r="D25" s="153">
        <v>88566.36</v>
      </c>
      <c r="E25" s="153">
        <v>78842.95</v>
      </c>
      <c r="F25" s="153">
        <f>F39</f>
        <v>134808.9695</v>
      </c>
      <c r="G25" s="153">
        <f>E25-D25</f>
        <v>-9723.410000000003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1496297.48</v>
      </c>
      <c r="E27" s="147">
        <f>SUM(E28:E31)</f>
        <v>1399847.31</v>
      </c>
      <c r="F27" s="147">
        <f>SUM(F28:F31)</f>
        <v>1496297.48</v>
      </c>
      <c r="G27" s="147">
        <f>SUM(G28:G31)</f>
        <v>-96450.16999999998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10921.69</v>
      </c>
      <c r="E28" s="68">
        <v>9725.79</v>
      </c>
      <c r="F28" s="68">
        <f>D28</f>
        <v>10921.69</v>
      </c>
      <c r="G28" s="68">
        <f>E28-D28</f>
        <v>-1195.8999999999996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317254.15</v>
      </c>
      <c r="E29" s="68">
        <v>280406.62</v>
      </c>
      <c r="F29" s="68">
        <f>D29</f>
        <v>317254.15</v>
      </c>
      <c r="G29" s="68">
        <f>E29-D29</f>
        <v>-36847.53000000003</v>
      </c>
    </row>
    <row r="30" spans="1:7" ht="24.75" customHeight="1">
      <c r="A30" s="9" t="s">
        <v>42</v>
      </c>
      <c r="B30" s="9" t="s">
        <v>173</v>
      </c>
      <c r="C30" s="234" t="s">
        <v>338</v>
      </c>
      <c r="D30" s="222">
        <v>22296.25</v>
      </c>
      <c r="E30" s="222">
        <v>61487.08</v>
      </c>
      <c r="F30" s="68">
        <f>D30</f>
        <v>22296.25</v>
      </c>
      <c r="G30" s="68">
        <f>E30-D30</f>
        <v>39190.83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1145825.39</v>
      </c>
      <c r="E31" s="68">
        <v>1048227.82</v>
      </c>
      <c r="F31" s="68">
        <f>D31</f>
        <v>1145825.39</v>
      </c>
      <c r="G31" s="68">
        <f>E31-D31</f>
        <v>-97597.56999999995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153636.65999999992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-55966.01950000001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SUM(F40:G47)</f>
        <v>134808.9695</v>
      </c>
      <c r="G39" s="291"/>
      <c r="H39" s="59"/>
      <c r="I39" s="60"/>
      <c r="L39" s="55"/>
    </row>
    <row r="40" spans="1:12" ht="15">
      <c r="A40" s="9" t="s">
        <v>16</v>
      </c>
      <c r="B40" s="271" t="s">
        <v>566</v>
      </c>
      <c r="C40" s="273"/>
      <c r="D40" s="158" t="s">
        <v>416</v>
      </c>
      <c r="E40" s="158">
        <v>0.01</v>
      </c>
      <c r="F40" s="308">
        <v>901.74</v>
      </c>
      <c r="G40" s="309"/>
      <c r="H40" s="61"/>
      <c r="I40" s="62"/>
      <c r="L40" s="56"/>
    </row>
    <row r="41" spans="1:12" ht="15">
      <c r="A41" s="9" t="s">
        <v>18</v>
      </c>
      <c r="B41" s="271" t="s">
        <v>564</v>
      </c>
      <c r="C41" s="273"/>
      <c r="D41" s="158" t="s">
        <v>239</v>
      </c>
      <c r="E41" s="158">
        <v>1030</v>
      </c>
      <c r="F41" s="308">
        <v>10567.8</v>
      </c>
      <c r="G41" s="309"/>
      <c r="H41" s="90"/>
      <c r="I41" s="90"/>
      <c r="L41" s="56"/>
    </row>
    <row r="42" spans="1:12" ht="15">
      <c r="A42" s="9" t="s">
        <v>20</v>
      </c>
      <c r="B42" s="271" t="s">
        <v>237</v>
      </c>
      <c r="C42" s="273"/>
      <c r="D42" s="158" t="s">
        <v>238</v>
      </c>
      <c r="E42" s="158">
        <v>10</v>
      </c>
      <c r="F42" s="308">
        <v>10000</v>
      </c>
      <c r="G42" s="309"/>
      <c r="H42" s="90"/>
      <c r="I42" s="90"/>
      <c r="L42" s="56"/>
    </row>
    <row r="43" spans="1:12" ht="15">
      <c r="A43" s="9" t="s">
        <v>22</v>
      </c>
      <c r="B43" s="271" t="s">
        <v>567</v>
      </c>
      <c r="C43" s="273"/>
      <c r="D43" s="158" t="s">
        <v>416</v>
      </c>
      <c r="E43" s="158">
        <v>0.03</v>
      </c>
      <c r="F43" s="308">
        <v>2551</v>
      </c>
      <c r="G43" s="309"/>
      <c r="H43" s="90"/>
      <c r="I43" s="90"/>
      <c r="L43" s="56"/>
    </row>
    <row r="44" spans="1:12" ht="15">
      <c r="A44" s="9" t="s">
        <v>24</v>
      </c>
      <c r="B44" s="271" t="s">
        <v>237</v>
      </c>
      <c r="C44" s="273"/>
      <c r="D44" s="158" t="s">
        <v>238</v>
      </c>
      <c r="E44" s="158">
        <v>40</v>
      </c>
      <c r="F44" s="308">
        <v>40000</v>
      </c>
      <c r="G44" s="309"/>
      <c r="H44" s="90"/>
      <c r="I44" s="90"/>
      <c r="L44" s="56"/>
    </row>
    <row r="45" spans="1:12" ht="15">
      <c r="A45" s="9" t="s">
        <v>116</v>
      </c>
      <c r="B45" s="271" t="s">
        <v>237</v>
      </c>
      <c r="C45" s="273"/>
      <c r="D45" s="158" t="s">
        <v>238</v>
      </c>
      <c r="E45" s="158">
        <v>30</v>
      </c>
      <c r="F45" s="308">
        <v>30000</v>
      </c>
      <c r="G45" s="309"/>
      <c r="H45" s="90"/>
      <c r="I45" s="90"/>
      <c r="L45" s="56"/>
    </row>
    <row r="46" spans="1:12" ht="15">
      <c r="A46" s="9" t="s">
        <v>117</v>
      </c>
      <c r="B46" s="271" t="s">
        <v>722</v>
      </c>
      <c r="C46" s="273"/>
      <c r="D46" s="158"/>
      <c r="E46" s="158"/>
      <c r="F46" s="308">
        <v>40000</v>
      </c>
      <c r="G46" s="309"/>
      <c r="H46" s="90"/>
      <c r="I46" s="90"/>
      <c r="L46" s="56"/>
    </row>
    <row r="47" spans="1:11" s="3" customFormat="1" ht="15">
      <c r="A47" s="9" t="s">
        <v>132</v>
      </c>
      <c r="B47" s="306" t="s">
        <v>286</v>
      </c>
      <c r="C47" s="307"/>
      <c r="D47" s="199"/>
      <c r="E47" s="199"/>
      <c r="F47" s="296">
        <f>E25*1%</f>
        <v>788.4295</v>
      </c>
      <c r="G47" s="296"/>
      <c r="H47" s="25"/>
      <c r="I47" s="25"/>
      <c r="J47" s="25"/>
      <c r="K47" s="25"/>
    </row>
    <row r="48" s="25" customFormat="1" ht="9" customHeight="1"/>
    <row r="49" spans="1:11" s="25" customFormat="1" ht="15">
      <c r="A49" s="3" t="s">
        <v>55</v>
      </c>
      <c r="B49" s="3"/>
      <c r="C49" s="101" t="s">
        <v>49</v>
      </c>
      <c r="D49" s="3"/>
      <c r="E49" s="3"/>
      <c r="F49" s="3" t="s">
        <v>102</v>
      </c>
      <c r="G49" s="3"/>
      <c r="H49" s="3"/>
      <c r="I49" s="3"/>
      <c r="J49" s="3"/>
      <c r="K49" s="3"/>
    </row>
    <row r="50" spans="1:7" s="25" customFormat="1" ht="15">
      <c r="A50" s="3"/>
      <c r="B50" s="3"/>
      <c r="C50" s="101"/>
      <c r="D50" s="3"/>
      <c r="E50" s="3"/>
      <c r="F50" s="4" t="s">
        <v>303</v>
      </c>
      <c r="G50" s="3"/>
    </row>
    <row r="51" spans="1:10" s="25" customFormat="1" ht="15">
      <c r="A51" s="3" t="s">
        <v>50</v>
      </c>
      <c r="B51" s="3"/>
      <c r="C51" s="101"/>
      <c r="D51" s="3"/>
      <c r="E51" s="3"/>
      <c r="F51" s="3"/>
      <c r="G51" s="3"/>
      <c r="H51" s="34"/>
      <c r="I51" s="34"/>
      <c r="J51" s="34"/>
    </row>
    <row r="52" spans="1:11" ht="15">
      <c r="A52" s="3"/>
      <c r="B52" s="3"/>
      <c r="C52" s="106" t="s">
        <v>51</v>
      </c>
      <c r="D52" s="3"/>
      <c r="E52" s="14"/>
      <c r="F52" s="14"/>
      <c r="G52" s="14"/>
      <c r="H52" s="25"/>
      <c r="I52" s="25"/>
      <c r="J52" s="25"/>
      <c r="K52" s="25"/>
    </row>
    <row r="53" spans="1:1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</sheetData>
  <sheetProtection/>
  <mergeCells count="30">
    <mergeCell ref="B46:C46"/>
    <mergeCell ref="F46:G46"/>
    <mergeCell ref="B43:C43"/>
    <mergeCell ref="F43:G43"/>
    <mergeCell ref="B44:C44"/>
    <mergeCell ref="F44:G44"/>
    <mergeCell ref="B45:C45"/>
    <mergeCell ref="F45:G45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7:C47"/>
    <mergeCell ref="F47:G47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40" sqref="F40:G40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366</v>
      </c>
      <c r="H7" s="26"/>
    </row>
    <row r="8" spans="1:8" s="25" customFormat="1" ht="12.75">
      <c r="A8" s="25" t="s">
        <v>3</v>
      </c>
      <c r="F8" s="26" t="s">
        <v>367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362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363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288112.6</v>
      </c>
      <c r="E17" s="146">
        <v>270677.66</v>
      </c>
      <c r="F17" s="146">
        <f aca="true" t="shared" si="0" ref="F17:F24">D17</f>
        <v>288112.6</v>
      </c>
      <c r="G17" s="147">
        <f>E17-D17</f>
        <v>-17434.940000000002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99221.66545454545</v>
      </c>
      <c r="E18" s="67">
        <f>E17*I18</f>
        <v>93217.3331764706</v>
      </c>
      <c r="F18" s="67">
        <f t="shared" si="0"/>
        <v>99221.66545454545</v>
      </c>
      <c r="G18" s="68">
        <f aca="true" t="shared" si="1" ref="G18:G26">E18-D18</f>
        <v>-6004.332278074857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47145.69818181818</v>
      </c>
      <c r="E19" s="67">
        <f>E17*I19</f>
        <v>44292.708</v>
      </c>
      <c r="F19" s="67">
        <f t="shared" si="0"/>
        <v>47145.69818181818</v>
      </c>
      <c r="G19" s="68">
        <f t="shared" si="1"/>
        <v>-2852.9901818181825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58238.803636363635</v>
      </c>
      <c r="E20" s="67">
        <f>E17*I20</f>
        <v>54714.52164705882</v>
      </c>
      <c r="F20" s="67">
        <f t="shared" si="0"/>
        <v>58238.803636363635</v>
      </c>
      <c r="G20" s="68">
        <f t="shared" si="1"/>
        <v>-3524.2819893048145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83506.43272727272</v>
      </c>
      <c r="E21" s="67">
        <f>E17*I21</f>
        <v>78453.09717647059</v>
      </c>
      <c r="F21" s="67">
        <f t="shared" si="0"/>
        <v>83506.43272727272</v>
      </c>
      <c r="G21" s="68">
        <f t="shared" si="1"/>
        <v>-5053.335550802134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1.92</v>
      </c>
      <c r="D25" s="153">
        <v>59163.2</v>
      </c>
      <c r="E25" s="153">
        <v>55886.3</v>
      </c>
      <c r="F25" s="153">
        <f>F39</f>
        <v>11676.512999999997</v>
      </c>
      <c r="G25" s="153">
        <f>E25-D25</f>
        <v>-3276.899999999994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1378193.17</v>
      </c>
      <c r="E27" s="147">
        <f>SUM(E28:E31)</f>
        <v>1285950.72</v>
      </c>
      <c r="F27" s="147">
        <f>SUM(F28:F31)</f>
        <v>1378193.17</v>
      </c>
      <c r="G27" s="147">
        <f>SUM(G28:G31)</f>
        <v>-92242.44999999998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19931.96</v>
      </c>
      <c r="E28" s="68">
        <v>18889.28</v>
      </c>
      <c r="F28" s="68">
        <f>D28</f>
        <v>19931.96</v>
      </c>
      <c r="G28" s="68">
        <f>E28-D28</f>
        <v>-1042.6800000000003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215355.43</v>
      </c>
      <c r="E29" s="68">
        <v>197790.22</v>
      </c>
      <c r="F29" s="68">
        <f>D29</f>
        <v>215355.43</v>
      </c>
      <c r="G29" s="68">
        <f>E29-D29</f>
        <v>-17565.209999999992</v>
      </c>
    </row>
    <row r="30" spans="1:7" ht="15">
      <c r="A30" s="9" t="s">
        <v>42</v>
      </c>
      <c r="B30" s="9" t="s">
        <v>170</v>
      </c>
      <c r="C30" s="182" t="s">
        <v>346</v>
      </c>
      <c r="D30" s="222">
        <v>342381.93</v>
      </c>
      <c r="E30" s="222">
        <v>331511.11</v>
      </c>
      <c r="F30" s="68">
        <f>D30</f>
        <v>342381.93</v>
      </c>
      <c r="G30" s="68">
        <f>E30-D30</f>
        <v>-10870.820000000007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800523.85</v>
      </c>
      <c r="E31" s="68">
        <v>737760.11</v>
      </c>
      <c r="F31" s="68">
        <f>D31</f>
        <v>800523.85</v>
      </c>
      <c r="G31" s="68">
        <f>E31-D31</f>
        <v>-62763.73999999999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112954.29000000004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44209.787000000004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SUM(F40:G44)</f>
        <v>11676.512999999997</v>
      </c>
      <c r="G39" s="291"/>
      <c r="H39" s="59"/>
      <c r="I39" s="60"/>
      <c r="L39" s="55"/>
    </row>
    <row r="40" spans="1:12" ht="15">
      <c r="A40" s="9" t="s">
        <v>16</v>
      </c>
      <c r="B40" s="271" t="s">
        <v>568</v>
      </c>
      <c r="C40" s="273"/>
      <c r="D40" s="158" t="s">
        <v>410</v>
      </c>
      <c r="E40" s="158">
        <v>0.01</v>
      </c>
      <c r="F40" s="308">
        <v>7877.28</v>
      </c>
      <c r="G40" s="309"/>
      <c r="H40" s="61"/>
      <c r="I40" s="62"/>
      <c r="L40" s="56"/>
    </row>
    <row r="41" spans="1:12" ht="15">
      <c r="A41" s="9" t="s">
        <v>18</v>
      </c>
      <c r="B41" s="271" t="s">
        <v>569</v>
      </c>
      <c r="C41" s="273"/>
      <c r="D41" s="158" t="s">
        <v>416</v>
      </c>
      <c r="E41" s="158">
        <v>0.01</v>
      </c>
      <c r="F41" s="308">
        <v>593.43</v>
      </c>
      <c r="G41" s="309"/>
      <c r="H41" s="90"/>
      <c r="I41" s="90"/>
      <c r="L41" s="56"/>
    </row>
    <row r="42" spans="1:12" ht="15">
      <c r="A42" s="9" t="s">
        <v>20</v>
      </c>
      <c r="B42" s="271" t="s">
        <v>570</v>
      </c>
      <c r="C42" s="273"/>
      <c r="D42" s="158" t="s">
        <v>416</v>
      </c>
      <c r="E42" s="158">
        <v>0.04</v>
      </c>
      <c r="F42" s="308">
        <v>2538.46</v>
      </c>
      <c r="G42" s="309"/>
      <c r="H42" s="90"/>
      <c r="I42" s="90"/>
      <c r="L42" s="56"/>
    </row>
    <row r="43" spans="1:12" ht="15">
      <c r="A43" s="9" t="s">
        <v>22</v>
      </c>
      <c r="B43" s="271" t="s">
        <v>571</v>
      </c>
      <c r="C43" s="273"/>
      <c r="D43" s="158" t="s">
        <v>234</v>
      </c>
      <c r="E43" s="158">
        <v>6</v>
      </c>
      <c r="F43" s="308">
        <v>108.48</v>
      </c>
      <c r="G43" s="309"/>
      <c r="H43" s="90"/>
      <c r="I43" s="90"/>
      <c r="L43" s="56"/>
    </row>
    <row r="44" spans="1:11" s="3" customFormat="1" ht="15">
      <c r="A44" s="9" t="s">
        <v>24</v>
      </c>
      <c r="B44" s="306" t="s">
        <v>286</v>
      </c>
      <c r="C44" s="307"/>
      <c r="D44" s="199"/>
      <c r="E44" s="199"/>
      <c r="F44" s="296">
        <f>E25*1%</f>
        <v>558.863</v>
      </c>
      <c r="G44" s="296"/>
      <c r="H44" s="25"/>
      <c r="I44" s="25"/>
      <c r="J44" s="25"/>
      <c r="K44" s="25"/>
    </row>
    <row r="45" s="25" customFormat="1" ht="9" customHeight="1"/>
    <row r="46" spans="1:11" s="25" customFormat="1" ht="1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3"/>
      <c r="I46" s="3"/>
      <c r="J46" s="3"/>
      <c r="K46" s="3"/>
    </row>
    <row r="47" spans="1:7" s="25" customFormat="1" ht="15">
      <c r="A47" s="3"/>
      <c r="B47" s="3"/>
      <c r="C47" s="101"/>
      <c r="D47" s="3"/>
      <c r="E47" s="3"/>
      <c r="F47" s="4" t="s">
        <v>303</v>
      </c>
      <c r="G47" s="3"/>
    </row>
    <row r="48" spans="1:10" s="25" customFormat="1" ht="1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11" ht="15">
      <c r="A49" s="3"/>
      <c r="B49" s="3"/>
      <c r="C49" s="106" t="s">
        <v>51</v>
      </c>
      <c r="D49" s="3"/>
      <c r="E49" s="14"/>
      <c r="F49" s="14"/>
      <c r="G49" s="14"/>
      <c r="H49" s="25"/>
      <c r="I49" s="25"/>
      <c r="J49" s="25"/>
      <c r="K49" s="25"/>
    </row>
    <row r="50" spans="1:1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sheetProtection/>
  <mergeCells count="24">
    <mergeCell ref="A11:K11"/>
    <mergeCell ref="A12:C12"/>
    <mergeCell ref="A1:K1"/>
    <mergeCell ref="A2:K2"/>
    <mergeCell ref="A3:K3"/>
    <mergeCell ref="A5:K5"/>
    <mergeCell ref="A9:K9"/>
    <mergeCell ref="A10:K10"/>
    <mergeCell ref="A33:C33"/>
    <mergeCell ref="A36:K36"/>
    <mergeCell ref="B38:C38"/>
    <mergeCell ref="F38:G38"/>
    <mergeCell ref="B42:C42"/>
    <mergeCell ref="F42:G42"/>
    <mergeCell ref="B44:C44"/>
    <mergeCell ref="F44:G44"/>
    <mergeCell ref="B39:C39"/>
    <mergeCell ref="F39:G39"/>
    <mergeCell ref="B40:C40"/>
    <mergeCell ref="F40:G40"/>
    <mergeCell ref="B41:C41"/>
    <mergeCell ref="F41:G41"/>
    <mergeCell ref="B43:C43"/>
    <mergeCell ref="F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53" sqref="B53:C53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278</v>
      </c>
      <c r="H7" s="26"/>
    </row>
    <row r="8" spans="1:8" s="25" customFormat="1" ht="12.75">
      <c r="A8" s="25" t="s">
        <v>3</v>
      </c>
      <c r="F8" s="26" t="s">
        <v>279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45728.37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313</v>
      </c>
      <c r="B14" s="43"/>
      <c r="C14" s="43"/>
      <c r="D14" s="44"/>
      <c r="E14" s="45"/>
      <c r="F14" s="45"/>
      <c r="G14" s="73">
        <v>30425.29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8.96</v>
      </c>
      <c r="D17" s="146">
        <v>491108.76</v>
      </c>
      <c r="E17" s="146">
        <v>474810.66</v>
      </c>
      <c r="F17" s="146">
        <f aca="true" t="shared" si="0" ref="F17:F24">D17</f>
        <v>491108.76</v>
      </c>
      <c r="G17" s="147">
        <f>E17-D17</f>
        <v>-16298.100000000035</v>
      </c>
      <c r="H17" s="70">
        <f>C17</f>
        <v>8.96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176492.210625</v>
      </c>
      <c r="E18" s="67">
        <f>E17*I18</f>
        <v>170635.0809375</v>
      </c>
      <c r="F18" s="67">
        <f t="shared" si="0"/>
        <v>176492.210625</v>
      </c>
      <c r="G18" s="68">
        <f aca="true" t="shared" si="1" ref="G18:G26">E18-D18</f>
        <v>-5857.129687500012</v>
      </c>
      <c r="H18" s="70">
        <f>C18</f>
        <v>3.22</v>
      </c>
      <c r="I18" s="32">
        <f>H18/H17</f>
        <v>0.359375</v>
      </c>
    </row>
    <row r="19" spans="1:9" s="25" customFormat="1" ht="15">
      <c r="A19" s="8" t="s">
        <v>18</v>
      </c>
      <c r="B19" s="9" t="s">
        <v>19</v>
      </c>
      <c r="C19" s="92">
        <v>1.61</v>
      </c>
      <c r="D19" s="67">
        <f>D17*I19</f>
        <v>88246.1053125</v>
      </c>
      <c r="E19" s="67">
        <f>E17*I19</f>
        <v>85317.54046875</v>
      </c>
      <c r="F19" s="67">
        <f t="shared" si="0"/>
        <v>88246.1053125</v>
      </c>
      <c r="G19" s="68">
        <f t="shared" si="1"/>
        <v>-2928.564843750006</v>
      </c>
      <c r="H19" s="70">
        <f>C19</f>
        <v>1.61</v>
      </c>
      <c r="I19" s="32">
        <f>H19/H17</f>
        <v>0.1796875</v>
      </c>
    </row>
    <row r="20" spans="1:9" s="25" customFormat="1" ht="15">
      <c r="A20" s="8" t="s">
        <v>20</v>
      </c>
      <c r="B20" s="9" t="s">
        <v>21</v>
      </c>
      <c r="C20" s="92">
        <v>1.42</v>
      </c>
      <c r="D20" s="67">
        <f>D17*I20</f>
        <v>77831.96866071426</v>
      </c>
      <c r="E20" s="67">
        <f>E17*I20</f>
        <v>75249.01084821427</v>
      </c>
      <c r="F20" s="67">
        <f t="shared" si="0"/>
        <v>77831.96866071426</v>
      </c>
      <c r="G20" s="68">
        <f t="shared" si="1"/>
        <v>-2582.957812499997</v>
      </c>
      <c r="H20" s="70">
        <f>C20</f>
        <v>1.42</v>
      </c>
      <c r="I20" s="32">
        <f>H20/H17</f>
        <v>0.15848214285714282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148538.4754017857</v>
      </c>
      <c r="E21" s="67">
        <f>E17*I21</f>
        <v>143609.02774553568</v>
      </c>
      <c r="F21" s="67">
        <f t="shared" si="0"/>
        <v>148538.4754017857</v>
      </c>
      <c r="G21" s="68">
        <f t="shared" si="1"/>
        <v>-4929.447656250006</v>
      </c>
      <c r="H21" s="70">
        <f>C21</f>
        <v>2.71</v>
      </c>
      <c r="I21" s="32">
        <f>H21/H17</f>
        <v>0.3024553571428571</v>
      </c>
    </row>
    <row r="22" spans="1:11" s="72" customFormat="1" ht="14.25">
      <c r="A22" s="191" t="s">
        <v>25</v>
      </c>
      <c r="B22" s="191" t="s">
        <v>347</v>
      </c>
      <c r="C22" s="176">
        <v>4.15</v>
      </c>
      <c r="D22" s="153">
        <v>37911.44</v>
      </c>
      <c r="E22" s="153">
        <v>35130.43</v>
      </c>
      <c r="F22" s="153">
        <f>F57</f>
        <v>227034</v>
      </c>
      <c r="G22" s="153">
        <f t="shared" si="1"/>
        <v>-2781.010000000002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28</v>
      </c>
      <c r="C23" s="176">
        <v>0</v>
      </c>
      <c r="D23" s="153">
        <v>0</v>
      </c>
      <c r="E23" s="153">
        <v>2433.4</v>
      </c>
      <c r="F23" s="153">
        <f t="shared" si="0"/>
        <v>0</v>
      </c>
      <c r="G23" s="153">
        <f t="shared" si="1"/>
        <v>2433.4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1.82</v>
      </c>
      <c r="D25" s="153">
        <v>99756.12</v>
      </c>
      <c r="E25" s="153">
        <v>97187</v>
      </c>
      <c r="F25" s="153">
        <f>F40-F57</f>
        <v>231517.21999999997</v>
      </c>
      <c r="G25" s="153">
        <f>E25-D25</f>
        <v>-2569.1199999999953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1832.48</v>
      </c>
      <c r="D26" s="147">
        <v>3664.92</v>
      </c>
      <c r="E26" s="147">
        <v>3396.06</v>
      </c>
      <c r="F26" s="153">
        <f>D26</f>
        <v>3664.92</v>
      </c>
      <c r="G26" s="147">
        <f t="shared" si="1"/>
        <v>-268.8600000000001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2591036.45</v>
      </c>
      <c r="E27" s="147">
        <f>SUM(E28:E31)</f>
        <v>2562990.63</v>
      </c>
      <c r="F27" s="147">
        <f>SUM(F28:F31)</f>
        <v>2591036.45</v>
      </c>
      <c r="G27" s="147">
        <f>SUM(G28:G31)</f>
        <v>-28045.82000000002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35834.22</v>
      </c>
      <c r="E28" s="68">
        <v>34943.55</v>
      </c>
      <c r="F28" s="68">
        <f>D28</f>
        <v>35834.22</v>
      </c>
      <c r="G28" s="68">
        <f>E28-D28</f>
        <v>-890.6699999999983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386679.9</v>
      </c>
      <c r="E29" s="68">
        <v>377903.9</v>
      </c>
      <c r="F29" s="68">
        <f>D29</f>
        <v>386679.9</v>
      </c>
      <c r="G29" s="68">
        <f>E29-D29</f>
        <v>-8776</v>
      </c>
    </row>
    <row r="30" spans="1:7" ht="15">
      <c r="A30" s="9" t="s">
        <v>42</v>
      </c>
      <c r="B30" s="9" t="s">
        <v>170</v>
      </c>
      <c r="C30" s="182" t="s">
        <v>346</v>
      </c>
      <c r="D30" s="68">
        <v>658160.77</v>
      </c>
      <c r="E30" s="68">
        <v>665706.37</v>
      </c>
      <c r="F30" s="68">
        <f>D30</f>
        <v>658160.77</v>
      </c>
      <c r="G30" s="68">
        <f>E30-D30</f>
        <v>7545.599999999977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1510361.56</v>
      </c>
      <c r="E31" s="68">
        <v>1484436.81</v>
      </c>
      <c r="F31" s="68">
        <f>D31</f>
        <v>1510361.56</v>
      </c>
      <c r="G31" s="68">
        <f>E31-D31</f>
        <v>-25924.75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93257.88000000035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-103904.92999999996</v>
      </c>
      <c r="H35" s="40"/>
      <c r="I35" s="40"/>
    </row>
    <row r="36" spans="1:11" s="20" customFormat="1" ht="14.25" thickBot="1">
      <c r="A36" s="87" t="s">
        <v>712</v>
      </c>
      <c r="B36" s="43"/>
      <c r="C36" s="43"/>
      <c r="D36" s="44"/>
      <c r="E36" s="45"/>
      <c r="F36" s="45"/>
      <c r="G36" s="38">
        <f>E22-F22</f>
        <v>-191903.57</v>
      </c>
      <c r="H36" s="22"/>
      <c r="I36" s="22"/>
      <c r="J36" s="22"/>
      <c r="K36" s="22"/>
    </row>
    <row r="37" spans="1:11" ht="31.5" customHeight="1">
      <c r="A37" s="267" t="s">
        <v>271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2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L39" s="54"/>
    </row>
    <row r="40" spans="1:12" s="12" customFormat="1" ht="15" customHeight="1">
      <c r="A40" s="11" t="s">
        <v>47</v>
      </c>
      <c r="B40" s="287" t="s">
        <v>126</v>
      </c>
      <c r="C40" s="288"/>
      <c r="D40" s="157"/>
      <c r="E40" s="157"/>
      <c r="F40" s="295">
        <f>SUM(F41:G59)</f>
        <v>458551.22</v>
      </c>
      <c r="G40" s="291"/>
      <c r="H40" s="59"/>
      <c r="I40" s="60"/>
      <c r="L40" s="55"/>
    </row>
    <row r="41" spans="1:12" ht="15">
      <c r="A41" s="9" t="s">
        <v>16</v>
      </c>
      <c r="B41" s="271" t="s">
        <v>430</v>
      </c>
      <c r="C41" s="273"/>
      <c r="D41" s="158" t="s">
        <v>234</v>
      </c>
      <c r="E41" s="158"/>
      <c r="F41" s="308">
        <v>1922.08</v>
      </c>
      <c r="G41" s="309"/>
      <c r="H41" s="61"/>
      <c r="I41" s="62"/>
      <c r="L41" s="56"/>
    </row>
    <row r="42" spans="1:12" ht="15">
      <c r="A42" s="9" t="s">
        <v>18</v>
      </c>
      <c r="B42" s="271" t="s">
        <v>572</v>
      </c>
      <c r="C42" s="273"/>
      <c r="D42" s="158" t="s">
        <v>416</v>
      </c>
      <c r="E42" s="158">
        <v>0.04</v>
      </c>
      <c r="F42" s="308">
        <v>2805.48</v>
      </c>
      <c r="G42" s="309"/>
      <c r="H42" s="90"/>
      <c r="I42" s="90"/>
      <c r="L42" s="56"/>
    </row>
    <row r="43" spans="1:12" ht="15">
      <c r="A43" s="9" t="s">
        <v>20</v>
      </c>
      <c r="B43" s="271" t="s">
        <v>572</v>
      </c>
      <c r="C43" s="273"/>
      <c r="D43" s="158" t="s">
        <v>416</v>
      </c>
      <c r="E43" s="158">
        <v>0.08</v>
      </c>
      <c r="F43" s="308">
        <v>4132.23</v>
      </c>
      <c r="G43" s="309"/>
      <c r="H43" s="90"/>
      <c r="I43" s="90"/>
      <c r="L43" s="56"/>
    </row>
    <row r="44" spans="1:12" ht="15">
      <c r="A44" s="9" t="s">
        <v>22</v>
      </c>
      <c r="B44" s="271" t="s">
        <v>573</v>
      </c>
      <c r="C44" s="273"/>
      <c r="D44" s="158" t="s">
        <v>416</v>
      </c>
      <c r="E44" s="158">
        <v>0.04</v>
      </c>
      <c r="F44" s="308">
        <v>2835.03</v>
      </c>
      <c r="G44" s="309"/>
      <c r="H44" s="90"/>
      <c r="I44" s="90"/>
      <c r="L44" s="56"/>
    </row>
    <row r="45" spans="1:12" ht="15">
      <c r="A45" s="242" t="s">
        <v>24</v>
      </c>
      <c r="B45" s="271" t="s">
        <v>577</v>
      </c>
      <c r="C45" s="273"/>
      <c r="D45" s="158" t="s">
        <v>416</v>
      </c>
      <c r="E45" s="158">
        <v>0.02</v>
      </c>
      <c r="F45" s="308">
        <v>2151.18</v>
      </c>
      <c r="G45" s="309"/>
      <c r="H45" s="90"/>
      <c r="I45" s="90"/>
      <c r="L45" s="56"/>
    </row>
    <row r="46" spans="1:12" ht="15">
      <c r="A46" s="9" t="s">
        <v>116</v>
      </c>
      <c r="B46" s="271" t="s">
        <v>578</v>
      </c>
      <c r="C46" s="273"/>
      <c r="D46" s="158" t="s">
        <v>416</v>
      </c>
      <c r="E46" s="158">
        <v>0.02</v>
      </c>
      <c r="F46" s="308">
        <v>1987.91</v>
      </c>
      <c r="G46" s="309"/>
      <c r="H46" s="90"/>
      <c r="I46" s="90"/>
      <c r="L46" s="56"/>
    </row>
    <row r="47" spans="1:12" ht="15">
      <c r="A47" s="9" t="s">
        <v>117</v>
      </c>
      <c r="B47" s="271" t="s">
        <v>574</v>
      </c>
      <c r="C47" s="273"/>
      <c r="D47" s="158"/>
      <c r="E47" s="158"/>
      <c r="F47" s="308">
        <v>14983.42</v>
      </c>
      <c r="G47" s="309"/>
      <c r="H47" s="90"/>
      <c r="I47" s="90"/>
      <c r="L47" s="56"/>
    </row>
    <row r="48" spans="1:12" ht="15">
      <c r="A48" s="9" t="s">
        <v>132</v>
      </c>
      <c r="B48" s="271" t="s">
        <v>579</v>
      </c>
      <c r="C48" s="273"/>
      <c r="D48" s="158" t="s">
        <v>410</v>
      </c>
      <c r="E48" s="158">
        <v>0.01</v>
      </c>
      <c r="F48" s="308">
        <v>361.4</v>
      </c>
      <c r="G48" s="309"/>
      <c r="H48" s="90"/>
      <c r="I48" s="90"/>
      <c r="L48" s="56"/>
    </row>
    <row r="49" spans="1:12" ht="15">
      <c r="A49" s="9" t="s">
        <v>133</v>
      </c>
      <c r="B49" s="271" t="s">
        <v>575</v>
      </c>
      <c r="C49" s="273"/>
      <c r="D49" s="158" t="s">
        <v>416</v>
      </c>
      <c r="E49" s="158">
        <v>0.01</v>
      </c>
      <c r="F49" s="308">
        <v>795.73</v>
      </c>
      <c r="G49" s="309"/>
      <c r="H49" s="90"/>
      <c r="I49" s="90"/>
      <c r="L49" s="56"/>
    </row>
    <row r="50" spans="1:12" ht="15">
      <c r="A50" s="9" t="s">
        <v>134</v>
      </c>
      <c r="B50" s="271" t="s">
        <v>580</v>
      </c>
      <c r="C50" s="273"/>
      <c r="D50" s="158" t="s">
        <v>416</v>
      </c>
      <c r="E50" s="158">
        <v>0.02</v>
      </c>
      <c r="F50" s="308">
        <v>4887.72</v>
      </c>
      <c r="G50" s="309"/>
      <c r="H50" s="90"/>
      <c r="I50" s="90"/>
      <c r="L50" s="56"/>
    </row>
    <row r="51" spans="1:12" ht="15">
      <c r="A51" s="9" t="s">
        <v>171</v>
      </c>
      <c r="B51" s="271" t="s">
        <v>581</v>
      </c>
      <c r="C51" s="273"/>
      <c r="D51" s="158" t="s">
        <v>416</v>
      </c>
      <c r="E51" s="158">
        <v>0.04</v>
      </c>
      <c r="F51" s="308">
        <v>3412.75</v>
      </c>
      <c r="G51" s="309"/>
      <c r="H51" s="90"/>
      <c r="I51" s="90"/>
      <c r="L51" s="56"/>
    </row>
    <row r="52" spans="1:12" ht="15">
      <c r="A52" s="9" t="s">
        <v>192</v>
      </c>
      <c r="B52" s="271" t="s">
        <v>576</v>
      </c>
      <c r="C52" s="273"/>
      <c r="D52" s="158" t="s">
        <v>416</v>
      </c>
      <c r="E52" s="158">
        <v>0.01</v>
      </c>
      <c r="F52" s="308">
        <v>7294.38</v>
      </c>
      <c r="G52" s="309"/>
      <c r="H52" s="90"/>
      <c r="I52" s="90"/>
      <c r="L52" s="56"/>
    </row>
    <row r="53" spans="1:12" ht="15">
      <c r="A53" s="9" t="s">
        <v>193</v>
      </c>
      <c r="B53" s="271" t="s">
        <v>721</v>
      </c>
      <c r="C53" s="273"/>
      <c r="D53" s="158" t="s">
        <v>416</v>
      </c>
      <c r="E53" s="158">
        <v>0.35</v>
      </c>
      <c r="F53" s="308">
        <v>19718.99</v>
      </c>
      <c r="G53" s="309"/>
      <c r="H53" s="90"/>
      <c r="I53" s="90"/>
      <c r="L53" s="56"/>
    </row>
    <row r="54" spans="1:12" ht="15">
      <c r="A54" s="9" t="s">
        <v>194</v>
      </c>
      <c r="B54" s="271" t="s">
        <v>582</v>
      </c>
      <c r="C54" s="273"/>
      <c r="D54" s="158" t="s">
        <v>238</v>
      </c>
      <c r="E54" s="158">
        <v>1.4</v>
      </c>
      <c r="F54" s="308">
        <v>39379.4</v>
      </c>
      <c r="G54" s="309"/>
      <c r="H54" s="90"/>
      <c r="I54" s="90"/>
      <c r="L54" s="56"/>
    </row>
    <row r="55" spans="1:12" ht="15">
      <c r="A55" s="9" t="s">
        <v>195</v>
      </c>
      <c r="B55" s="271" t="s">
        <v>583</v>
      </c>
      <c r="C55" s="273"/>
      <c r="D55" s="158" t="s">
        <v>238</v>
      </c>
      <c r="E55" s="158">
        <v>1.4</v>
      </c>
      <c r="F55" s="308">
        <v>61556.53</v>
      </c>
      <c r="G55" s="309"/>
      <c r="H55" s="90"/>
      <c r="I55" s="90"/>
      <c r="L55" s="56"/>
    </row>
    <row r="56" spans="1:12" ht="15">
      <c r="A56" s="9" t="s">
        <v>287</v>
      </c>
      <c r="B56" s="271" t="s">
        <v>584</v>
      </c>
      <c r="C56" s="273"/>
      <c r="D56" s="158" t="s">
        <v>238</v>
      </c>
      <c r="E56" s="158">
        <v>1</v>
      </c>
      <c r="F56" s="308">
        <v>52321.12</v>
      </c>
      <c r="G56" s="309"/>
      <c r="H56" s="90"/>
      <c r="I56" s="90"/>
      <c r="L56" s="56"/>
    </row>
    <row r="57" spans="1:12" ht="15">
      <c r="A57" s="9" t="s">
        <v>510</v>
      </c>
      <c r="B57" s="271" t="s">
        <v>457</v>
      </c>
      <c r="C57" s="273"/>
      <c r="D57" s="158" t="s">
        <v>234</v>
      </c>
      <c r="E57" s="158">
        <v>1</v>
      </c>
      <c r="F57" s="308">
        <v>227034</v>
      </c>
      <c r="G57" s="309"/>
      <c r="H57" s="90"/>
      <c r="I57" s="90"/>
      <c r="L57" s="56"/>
    </row>
    <row r="58" spans="1:12" ht="15">
      <c r="A58" s="9" t="s">
        <v>585</v>
      </c>
      <c r="B58" s="271" t="s">
        <v>718</v>
      </c>
      <c r="C58" s="273"/>
      <c r="D58" s="158"/>
      <c r="E58" s="158"/>
      <c r="F58" s="308">
        <v>10000</v>
      </c>
      <c r="G58" s="309"/>
      <c r="H58" s="90"/>
      <c r="I58" s="90"/>
      <c r="L58" s="56"/>
    </row>
    <row r="59" spans="1:11" s="3" customFormat="1" ht="15">
      <c r="A59" s="9" t="s">
        <v>640</v>
      </c>
      <c r="B59" s="306" t="s">
        <v>286</v>
      </c>
      <c r="C59" s="307"/>
      <c r="D59" s="199"/>
      <c r="E59" s="199"/>
      <c r="F59" s="296">
        <f>E25*1%</f>
        <v>971.87</v>
      </c>
      <c r="G59" s="296"/>
      <c r="H59" s="25"/>
      <c r="I59" s="25"/>
      <c r="J59" s="25"/>
      <c r="K59" s="25"/>
    </row>
    <row r="60" s="25" customFormat="1" ht="9" customHeight="1"/>
    <row r="61" spans="1:11" s="25" customFormat="1" ht="15">
      <c r="A61" s="3" t="s">
        <v>55</v>
      </c>
      <c r="B61" s="3"/>
      <c r="C61" s="101" t="s">
        <v>49</v>
      </c>
      <c r="D61" s="3"/>
      <c r="E61" s="3"/>
      <c r="F61" s="3" t="s">
        <v>102</v>
      </c>
      <c r="G61" s="3"/>
      <c r="H61" s="3"/>
      <c r="I61" s="3"/>
      <c r="J61" s="3"/>
      <c r="K61" s="3"/>
    </row>
    <row r="62" spans="1:7" s="25" customFormat="1" ht="15">
      <c r="A62" s="3"/>
      <c r="B62" s="3"/>
      <c r="C62" s="101"/>
      <c r="D62" s="3"/>
      <c r="E62" s="3"/>
      <c r="F62" s="4" t="s">
        <v>303</v>
      </c>
      <c r="G62" s="3"/>
    </row>
    <row r="63" spans="1:10" s="25" customFormat="1" ht="15">
      <c r="A63" s="3" t="s">
        <v>50</v>
      </c>
      <c r="B63" s="3"/>
      <c r="C63" s="101"/>
      <c r="D63" s="3"/>
      <c r="E63" s="3"/>
      <c r="F63" s="3"/>
      <c r="G63" s="3"/>
      <c r="H63" s="34"/>
      <c r="I63" s="34"/>
      <c r="J63" s="34"/>
    </row>
    <row r="64" spans="1:11" ht="15">
      <c r="A64" s="3"/>
      <c r="B64" s="3"/>
      <c r="C64" s="106" t="s">
        <v>51</v>
      </c>
      <c r="D64" s="3"/>
      <c r="E64" s="14"/>
      <c r="F64" s="14"/>
      <c r="G64" s="14"/>
      <c r="H64" s="25"/>
      <c r="I64" s="25"/>
      <c r="J64" s="25"/>
      <c r="K64" s="25"/>
    </row>
    <row r="65" spans="1:1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2">
    <mergeCell ref="B58:C58"/>
    <mergeCell ref="F58:G58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49:C49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F48:G48"/>
    <mergeCell ref="B43:C43"/>
    <mergeCell ref="F43:G43"/>
    <mergeCell ref="B44:C44"/>
    <mergeCell ref="F44:G44"/>
    <mergeCell ref="B45:C45"/>
    <mergeCell ref="F45:G45"/>
    <mergeCell ref="A12:C12"/>
    <mergeCell ref="A10:K10"/>
    <mergeCell ref="B59:C59"/>
    <mergeCell ref="F59:G59"/>
    <mergeCell ref="B40:C40"/>
    <mergeCell ref="F40:G40"/>
    <mergeCell ref="B41:C41"/>
    <mergeCell ref="F41:G41"/>
    <mergeCell ref="B42:C42"/>
    <mergeCell ref="F42:G42"/>
    <mergeCell ref="A37:K37"/>
    <mergeCell ref="B39:C39"/>
    <mergeCell ref="F39:G39"/>
    <mergeCell ref="A1:K1"/>
    <mergeCell ref="A2:K2"/>
    <mergeCell ref="A3:K3"/>
    <mergeCell ref="A5:K5"/>
    <mergeCell ref="A9:K9"/>
    <mergeCell ref="A33:C33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26" sqref="F26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280</v>
      </c>
      <c r="H7" s="26"/>
    </row>
    <row r="8" spans="1:8" s="25" customFormat="1" ht="12.75">
      <c r="A8" s="25" t="s">
        <v>3</v>
      </c>
      <c r="F8" s="26" t="s">
        <v>281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618902.72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313</v>
      </c>
      <c r="B14" s="43"/>
      <c r="C14" s="43"/>
      <c r="D14" s="44"/>
      <c r="E14" s="45"/>
      <c r="F14" s="45"/>
      <c r="G14" s="73">
        <v>456611.12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235">
        <f>C18+C19+C20+C21+C22</f>
        <v>10.090000000000002</v>
      </c>
      <c r="D17" s="146">
        <v>1846837.84</v>
      </c>
      <c r="E17" s="146">
        <v>1729904.55</v>
      </c>
      <c r="F17" s="146">
        <f aca="true" t="shared" si="0" ref="F17:F24">D17</f>
        <v>1846837.84</v>
      </c>
      <c r="G17" s="147">
        <f>E17-D17</f>
        <v>-116933.29000000004</v>
      </c>
      <c r="H17" s="70">
        <f aca="true" t="shared" si="1" ref="H17:H22">C17</f>
        <v>10.090000000000002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589377.387988107</v>
      </c>
      <c r="E18" s="67">
        <f>E17*I18</f>
        <v>552060.7186323092</v>
      </c>
      <c r="F18" s="67">
        <f t="shared" si="0"/>
        <v>589377.387988107</v>
      </c>
      <c r="G18" s="68">
        <f aca="true" t="shared" si="2" ref="G18:G27">E18-D18</f>
        <v>-37316.669355797814</v>
      </c>
      <c r="H18" s="70">
        <f t="shared" si="1"/>
        <v>3.22</v>
      </c>
      <c r="I18" s="32">
        <f>H18/H17</f>
        <v>0.3191278493557978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280045.7775222993</v>
      </c>
      <c r="E19" s="67">
        <f>E17*I19</f>
        <v>262314.5650644202</v>
      </c>
      <c r="F19" s="67">
        <f t="shared" si="0"/>
        <v>280045.7775222993</v>
      </c>
      <c r="G19" s="68">
        <f t="shared" si="2"/>
        <v>-17731.212457879097</v>
      </c>
      <c r="H19" s="70">
        <f t="shared" si="1"/>
        <v>1.53</v>
      </c>
      <c r="I19" s="32">
        <f>H19/H17</f>
        <v>0.15163528245787908</v>
      </c>
    </row>
    <row r="20" spans="1:9" s="25" customFormat="1" ht="15">
      <c r="A20" s="8" t="s">
        <v>20</v>
      </c>
      <c r="B20" s="9" t="s">
        <v>21</v>
      </c>
      <c r="C20" s="92">
        <f>1.89-0.14</f>
        <v>1.75</v>
      </c>
      <c r="D20" s="67">
        <f>D17*I20</f>
        <v>320313.7978196234</v>
      </c>
      <c r="E20" s="67">
        <f>E17*I20</f>
        <v>300032.99925668974</v>
      </c>
      <c r="F20" s="67">
        <f t="shared" si="0"/>
        <v>320313.7978196234</v>
      </c>
      <c r="G20" s="68">
        <f t="shared" si="2"/>
        <v>-20280.798562933633</v>
      </c>
      <c r="H20" s="70">
        <f t="shared" si="1"/>
        <v>1.75</v>
      </c>
      <c r="I20" s="32">
        <f>H20/H17</f>
        <v>0.17343904856293357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496028.7954806739</v>
      </c>
      <c r="E21" s="67">
        <f>E17*I21</f>
        <v>464622.53027750243</v>
      </c>
      <c r="F21" s="67">
        <f t="shared" si="0"/>
        <v>496028.7954806739</v>
      </c>
      <c r="G21" s="68">
        <f t="shared" si="2"/>
        <v>-31406.265203171468</v>
      </c>
      <c r="H21" s="70">
        <f t="shared" si="1"/>
        <v>2.71</v>
      </c>
      <c r="I21" s="32">
        <f>H21/H17</f>
        <v>0.26858275520317143</v>
      </c>
    </row>
    <row r="22" spans="1:9" s="25" customFormat="1" ht="15">
      <c r="A22" s="8" t="s">
        <v>24</v>
      </c>
      <c r="B22" s="9" t="s">
        <v>282</v>
      </c>
      <c r="C22" s="92">
        <v>0.88</v>
      </c>
      <c r="D22" s="67">
        <f>D17*I22</f>
        <v>161072.08118929632</v>
      </c>
      <c r="E22" s="67">
        <f>E17*I22</f>
        <v>150873.73676907827</v>
      </c>
      <c r="F22" s="67">
        <f t="shared" si="0"/>
        <v>161072.08118929632</v>
      </c>
      <c r="G22" s="68">
        <f>E22-D22</f>
        <v>-10198.344420218054</v>
      </c>
      <c r="H22" s="70">
        <f t="shared" si="1"/>
        <v>0.88</v>
      </c>
      <c r="I22" s="32">
        <f>H22/H17</f>
        <v>0.08721506442021802</v>
      </c>
    </row>
    <row r="23" spans="1:11" s="72" customFormat="1" ht="14.25">
      <c r="A23" s="191" t="s">
        <v>25</v>
      </c>
      <c r="B23" s="191" t="s">
        <v>26</v>
      </c>
      <c r="C23" s="176">
        <v>3.58</v>
      </c>
      <c r="D23" s="153">
        <v>660940.02</v>
      </c>
      <c r="E23" s="153">
        <v>620091.46</v>
      </c>
      <c r="F23" s="153">
        <f t="shared" si="0"/>
        <v>660940.02</v>
      </c>
      <c r="G23" s="153">
        <f t="shared" si="2"/>
        <v>-40848.560000000056</v>
      </c>
      <c r="H23" s="154"/>
      <c r="I23" s="154"/>
      <c r="J23" s="154"/>
      <c r="K23" s="154"/>
    </row>
    <row r="24" spans="1:11" s="72" customFormat="1" ht="14.25">
      <c r="A24" s="191" t="s">
        <v>27</v>
      </c>
      <c r="B24" s="191" t="s">
        <v>28</v>
      </c>
      <c r="C24" s="176">
        <v>0</v>
      </c>
      <c r="D24" s="153">
        <v>0</v>
      </c>
      <c r="E24" s="153">
        <v>26653.04</v>
      </c>
      <c r="F24" s="153">
        <f t="shared" si="0"/>
        <v>0</v>
      </c>
      <c r="G24" s="153">
        <f t="shared" si="2"/>
        <v>26653.04</v>
      </c>
      <c r="H24" s="154"/>
      <c r="I24" s="154"/>
      <c r="J24" s="154"/>
      <c r="K24" s="154"/>
    </row>
    <row r="25" spans="1:11" s="72" customFormat="1" ht="14.25">
      <c r="A25" s="191" t="s">
        <v>29</v>
      </c>
      <c r="B25" s="191" t="s">
        <v>715</v>
      </c>
      <c r="C25" s="176">
        <v>100</v>
      </c>
      <c r="D25" s="153">
        <v>368100</v>
      </c>
      <c r="E25" s="153">
        <v>347825.6</v>
      </c>
      <c r="F25" s="153">
        <f>D25</f>
        <v>368100</v>
      </c>
      <c r="G25" s="153">
        <f t="shared" si="2"/>
        <v>-20274.400000000023</v>
      </c>
      <c r="H25" s="154"/>
      <c r="I25" s="154"/>
      <c r="J25" s="154"/>
      <c r="K25" s="154"/>
    </row>
    <row r="26" spans="1:11" s="72" customFormat="1" ht="14.25">
      <c r="A26" s="191" t="s">
        <v>31</v>
      </c>
      <c r="B26" s="191" t="s">
        <v>131</v>
      </c>
      <c r="C26" s="206" t="s">
        <v>350</v>
      </c>
      <c r="D26" s="153">
        <v>350460.14</v>
      </c>
      <c r="E26" s="153">
        <v>328541.2</v>
      </c>
      <c r="F26" s="153">
        <f>F41</f>
        <v>432813.8119999999</v>
      </c>
      <c r="G26" s="153">
        <f>E26-D26</f>
        <v>-21918.940000000002</v>
      </c>
      <c r="H26" s="154"/>
      <c r="I26" s="154"/>
      <c r="J26" s="154"/>
      <c r="K26" s="154"/>
    </row>
    <row r="27" spans="1:11" ht="14.25">
      <c r="A27" s="129" t="s">
        <v>33</v>
      </c>
      <c r="B27" s="129" t="s">
        <v>230</v>
      </c>
      <c r="C27" s="175">
        <v>1838.42</v>
      </c>
      <c r="D27" s="147">
        <v>453.24</v>
      </c>
      <c r="E27" s="147">
        <v>562.71</v>
      </c>
      <c r="F27" s="153">
        <f>D27</f>
        <v>453.24</v>
      </c>
      <c r="G27" s="147">
        <f t="shared" si="2"/>
        <v>109.47000000000003</v>
      </c>
      <c r="H27" s="37"/>
      <c r="I27" s="37"/>
      <c r="J27" s="37"/>
      <c r="K27" s="37"/>
    </row>
    <row r="28" spans="1:11" ht="14.25">
      <c r="A28" s="129" t="s">
        <v>35</v>
      </c>
      <c r="B28" s="129" t="s">
        <v>36</v>
      </c>
      <c r="C28" s="175"/>
      <c r="D28" s="147">
        <f>SUM(D29:D32)</f>
        <v>8420067.73</v>
      </c>
      <c r="E28" s="147">
        <f>SUM(E29:E32)</f>
        <v>7944159.5</v>
      </c>
      <c r="F28" s="147">
        <f>SUM(F29:F32)</f>
        <v>8420067.73</v>
      </c>
      <c r="G28" s="147">
        <f>SUM(G29:G32)</f>
        <v>-475908.2300000002</v>
      </c>
      <c r="H28" s="37"/>
      <c r="I28" s="37"/>
      <c r="J28" s="37"/>
      <c r="K28" s="37"/>
    </row>
    <row r="29" spans="1:7" ht="15">
      <c r="A29" s="9" t="s">
        <v>37</v>
      </c>
      <c r="B29" s="9" t="s">
        <v>251</v>
      </c>
      <c r="C29" s="194" t="s">
        <v>349</v>
      </c>
      <c r="D29" s="68">
        <v>1721319.01</v>
      </c>
      <c r="E29" s="68">
        <v>1597783.95</v>
      </c>
      <c r="F29" s="68">
        <f>D29</f>
        <v>1721319.01</v>
      </c>
      <c r="G29" s="68">
        <f>E29-D29</f>
        <v>-123535.06000000006</v>
      </c>
    </row>
    <row r="30" spans="1:7" ht="15">
      <c r="A30" s="9" t="s">
        <v>39</v>
      </c>
      <c r="B30" s="9" t="s">
        <v>168</v>
      </c>
      <c r="C30" s="182" t="s">
        <v>314</v>
      </c>
      <c r="D30" s="68">
        <v>861135.24</v>
      </c>
      <c r="E30" s="68">
        <v>823940.04</v>
      </c>
      <c r="F30" s="68">
        <f>D30</f>
        <v>861135.24</v>
      </c>
      <c r="G30" s="68">
        <f>E30-D30</f>
        <v>-37195.19999999995</v>
      </c>
    </row>
    <row r="31" spans="1:7" ht="15">
      <c r="A31" s="9" t="s">
        <v>42</v>
      </c>
      <c r="B31" s="9" t="s">
        <v>170</v>
      </c>
      <c r="C31" s="195">
        <v>191.95</v>
      </c>
      <c r="D31" s="68">
        <v>1569716.28</v>
      </c>
      <c r="E31" s="68">
        <v>1367855.49</v>
      </c>
      <c r="F31" s="68">
        <f>D31</f>
        <v>1569716.28</v>
      </c>
      <c r="G31" s="68">
        <f>E31-D31</f>
        <v>-201860.79000000004</v>
      </c>
    </row>
    <row r="32" spans="1:7" ht="15">
      <c r="A32" s="9" t="s">
        <v>41</v>
      </c>
      <c r="B32" s="9" t="s">
        <v>43</v>
      </c>
      <c r="C32" s="194" t="s">
        <v>348</v>
      </c>
      <c r="D32" s="68">
        <v>4267897.2</v>
      </c>
      <c r="E32" s="68">
        <v>4154580.02</v>
      </c>
      <c r="F32" s="68">
        <f>D32</f>
        <v>4267897.2</v>
      </c>
      <c r="G32" s="68">
        <f>E32-D32</f>
        <v>-113317.18000000017</v>
      </c>
    </row>
    <row r="33" spans="1:9" s="20" customFormat="1" ht="7.5" customHeight="1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D12+D17+D23+D24+D25+D26+D27+D28-E17-E23-E24-E25-E26-E27-E28</f>
        <v>1268023.6300000008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G14+E26-F26</f>
        <v>352338.50800000015</v>
      </c>
      <c r="H36" s="40"/>
      <c r="I36" s="40"/>
    </row>
    <row r="37" spans="1:11" s="20" customFormat="1" ht="13.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1" ht="31.5" customHeight="1">
      <c r="A38" s="267" t="s">
        <v>271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  <row r="40" spans="1:12" s="18" customFormat="1" ht="37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  <c r="H40" s="57"/>
      <c r="I40" s="58"/>
      <c r="L40" s="54"/>
    </row>
    <row r="41" spans="1:12" s="12" customFormat="1" ht="15" customHeight="1">
      <c r="A41" s="11" t="s">
        <v>47</v>
      </c>
      <c r="B41" s="287" t="s">
        <v>126</v>
      </c>
      <c r="C41" s="288"/>
      <c r="D41" s="157"/>
      <c r="E41" s="157"/>
      <c r="F41" s="295">
        <f>SUM(F42:G53)</f>
        <v>432813.8119999999</v>
      </c>
      <c r="G41" s="291"/>
      <c r="H41" s="59"/>
      <c r="I41" s="60"/>
      <c r="L41" s="55"/>
    </row>
    <row r="42" spans="1:12" ht="15">
      <c r="A42" s="9" t="s">
        <v>16</v>
      </c>
      <c r="B42" s="271" t="s">
        <v>615</v>
      </c>
      <c r="C42" s="273"/>
      <c r="D42" s="158" t="s">
        <v>416</v>
      </c>
      <c r="E42" s="158">
        <v>0.27</v>
      </c>
      <c r="F42" s="308">
        <v>5382.69</v>
      </c>
      <c r="G42" s="309"/>
      <c r="H42" s="61"/>
      <c r="I42" s="62"/>
      <c r="L42" s="56"/>
    </row>
    <row r="43" spans="1:12" ht="15">
      <c r="A43" s="9" t="s">
        <v>18</v>
      </c>
      <c r="B43" s="271" t="s">
        <v>617</v>
      </c>
      <c r="C43" s="273"/>
      <c r="D43" s="158" t="s">
        <v>416</v>
      </c>
      <c r="E43" s="158">
        <v>0.18</v>
      </c>
      <c r="F43" s="308">
        <v>13388.21</v>
      </c>
      <c r="G43" s="309"/>
      <c r="H43" s="90"/>
      <c r="I43" s="90"/>
      <c r="L43" s="56"/>
    </row>
    <row r="44" spans="1:12" ht="15">
      <c r="A44" s="9" t="s">
        <v>20</v>
      </c>
      <c r="B44" s="271" t="s">
        <v>616</v>
      </c>
      <c r="C44" s="273"/>
      <c r="D44" s="158" t="s">
        <v>234</v>
      </c>
      <c r="E44" s="158">
        <v>1</v>
      </c>
      <c r="F44" s="308">
        <v>30863.52</v>
      </c>
      <c r="G44" s="309"/>
      <c r="H44" s="90"/>
      <c r="I44" s="90"/>
      <c r="L44" s="56"/>
    </row>
    <row r="45" spans="1:12" ht="15">
      <c r="A45" s="9" t="s">
        <v>22</v>
      </c>
      <c r="B45" s="271" t="s">
        <v>618</v>
      </c>
      <c r="C45" s="273"/>
      <c r="D45" s="158" t="s">
        <v>625</v>
      </c>
      <c r="E45" s="158">
        <v>6</v>
      </c>
      <c r="F45" s="308">
        <v>224000</v>
      </c>
      <c r="G45" s="309"/>
      <c r="H45" s="90"/>
      <c r="I45" s="90"/>
      <c r="L45" s="56"/>
    </row>
    <row r="46" spans="1:11" s="3" customFormat="1" ht="15">
      <c r="A46" s="242" t="s">
        <v>24</v>
      </c>
      <c r="B46" s="271" t="s">
        <v>619</v>
      </c>
      <c r="C46" s="273"/>
      <c r="D46" s="158" t="s">
        <v>625</v>
      </c>
      <c r="E46" s="158">
        <v>1</v>
      </c>
      <c r="F46" s="308">
        <v>76000</v>
      </c>
      <c r="G46" s="309"/>
      <c r="H46" s="25"/>
      <c r="I46" s="25"/>
      <c r="J46" s="25"/>
      <c r="K46" s="25"/>
    </row>
    <row r="47" spans="1:7" s="25" customFormat="1" ht="15">
      <c r="A47" s="9" t="s">
        <v>116</v>
      </c>
      <c r="B47" s="271" t="s">
        <v>620</v>
      </c>
      <c r="C47" s="273"/>
      <c r="D47" s="158" t="s">
        <v>234</v>
      </c>
      <c r="E47" s="158">
        <v>1</v>
      </c>
      <c r="F47" s="308">
        <v>2445</v>
      </c>
      <c r="G47" s="309"/>
    </row>
    <row r="48" spans="1:11" s="25" customFormat="1" ht="15">
      <c r="A48" s="9" t="s">
        <v>117</v>
      </c>
      <c r="B48" s="271" t="s">
        <v>621</v>
      </c>
      <c r="C48" s="273"/>
      <c r="D48" s="158" t="s">
        <v>234</v>
      </c>
      <c r="E48" s="158">
        <v>1</v>
      </c>
      <c r="F48" s="308">
        <v>9500</v>
      </c>
      <c r="G48" s="309"/>
      <c r="H48" s="3"/>
      <c r="I48" s="3"/>
      <c r="J48" s="3"/>
      <c r="K48" s="3"/>
    </row>
    <row r="49" spans="1:7" s="25" customFormat="1" ht="15">
      <c r="A49" s="9" t="s">
        <v>132</v>
      </c>
      <c r="B49" s="271" t="s">
        <v>622</v>
      </c>
      <c r="C49" s="273"/>
      <c r="D49" s="158" t="s">
        <v>234</v>
      </c>
      <c r="E49" s="158">
        <v>4</v>
      </c>
      <c r="F49" s="308">
        <v>3333.6</v>
      </c>
      <c r="G49" s="309"/>
    </row>
    <row r="50" spans="1:11" ht="15">
      <c r="A50" s="9" t="s">
        <v>133</v>
      </c>
      <c r="B50" s="271" t="s">
        <v>623</v>
      </c>
      <c r="C50" s="273"/>
      <c r="D50" s="158" t="s">
        <v>412</v>
      </c>
      <c r="E50" s="158">
        <v>0.5</v>
      </c>
      <c r="F50" s="308">
        <v>59742.53</v>
      </c>
      <c r="G50" s="309"/>
      <c r="H50" s="25"/>
      <c r="I50" s="25"/>
      <c r="J50" s="25"/>
      <c r="K50" s="25"/>
    </row>
    <row r="51" spans="1:11" ht="15">
      <c r="A51" s="9" t="s">
        <v>134</v>
      </c>
      <c r="B51" s="271" t="s">
        <v>624</v>
      </c>
      <c r="C51" s="273"/>
      <c r="D51" s="158" t="s">
        <v>410</v>
      </c>
      <c r="E51" s="158">
        <v>0.1</v>
      </c>
      <c r="F51" s="308">
        <v>1912.85</v>
      </c>
      <c r="G51" s="309"/>
      <c r="H51" s="25"/>
      <c r="I51" s="25"/>
      <c r="J51" s="25"/>
      <c r="K51" s="25"/>
    </row>
    <row r="52" spans="1:11" ht="15">
      <c r="A52" s="9" t="s">
        <v>171</v>
      </c>
      <c r="B52" s="271" t="s">
        <v>601</v>
      </c>
      <c r="C52" s="273"/>
      <c r="D52" s="158" t="s">
        <v>234</v>
      </c>
      <c r="E52" s="158">
        <v>74</v>
      </c>
      <c r="F52" s="308">
        <v>2960</v>
      </c>
      <c r="G52" s="309"/>
      <c r="H52" s="25"/>
      <c r="I52" s="25"/>
      <c r="J52" s="25"/>
      <c r="K52" s="25"/>
    </row>
    <row r="53" spans="1:7" ht="15">
      <c r="A53" s="9" t="s">
        <v>192</v>
      </c>
      <c r="B53" s="306" t="s">
        <v>286</v>
      </c>
      <c r="C53" s="307"/>
      <c r="D53" s="199"/>
      <c r="E53" s="199"/>
      <c r="F53" s="296">
        <f>E26*1%</f>
        <v>3285.4120000000003</v>
      </c>
      <c r="G53" s="296"/>
    </row>
    <row r="54" spans="1:7" ht="12.75">
      <c r="A54" s="25"/>
      <c r="B54" s="25"/>
      <c r="C54" s="25"/>
      <c r="D54" s="25"/>
      <c r="E54" s="25"/>
      <c r="F54" s="25"/>
      <c r="G54" s="25"/>
    </row>
    <row r="55" spans="1:7" ht="15">
      <c r="A55" s="3" t="s">
        <v>55</v>
      </c>
      <c r="B55" s="3"/>
      <c r="C55" s="101" t="s">
        <v>49</v>
      </c>
      <c r="D55" s="3"/>
      <c r="E55" s="3"/>
      <c r="F55" s="3" t="s">
        <v>102</v>
      </c>
      <c r="G55" s="3"/>
    </row>
    <row r="56" spans="1:7" ht="15">
      <c r="A56" s="3"/>
      <c r="B56" s="3"/>
      <c r="C56" s="101"/>
      <c r="D56" s="3"/>
      <c r="E56" s="3"/>
      <c r="F56" s="4" t="s">
        <v>303</v>
      </c>
      <c r="G56" s="3"/>
    </row>
    <row r="57" spans="1:7" ht="15">
      <c r="A57" s="3" t="s">
        <v>50</v>
      </c>
      <c r="B57" s="3"/>
      <c r="C57" s="101"/>
      <c r="D57" s="3"/>
      <c r="E57" s="3"/>
      <c r="F57" s="3"/>
      <c r="G57" s="3"/>
    </row>
    <row r="58" spans="1:7" ht="15">
      <c r="A58" s="3"/>
      <c r="B58" s="3"/>
      <c r="C58" s="106" t="s">
        <v>51</v>
      </c>
      <c r="D58" s="3"/>
      <c r="E58" s="14"/>
      <c r="F58" s="14"/>
      <c r="G58" s="14"/>
    </row>
  </sheetData>
  <sheetProtection/>
  <mergeCells count="38">
    <mergeCell ref="B53:C53"/>
    <mergeCell ref="F53:G53"/>
    <mergeCell ref="B52:C52"/>
    <mergeCell ref="F52:G52"/>
    <mergeCell ref="B50:C50"/>
    <mergeCell ref="F50:G50"/>
    <mergeCell ref="B51:C51"/>
    <mergeCell ref="F51:G51"/>
    <mergeCell ref="B47:C47"/>
    <mergeCell ref="F47:G47"/>
    <mergeCell ref="B48:C48"/>
    <mergeCell ref="F48:G48"/>
    <mergeCell ref="B49:C49"/>
    <mergeCell ref="F49:G49"/>
    <mergeCell ref="B46:C46"/>
    <mergeCell ref="F46:G46"/>
    <mergeCell ref="B44:C44"/>
    <mergeCell ref="F44:G44"/>
    <mergeCell ref="B45:C45"/>
    <mergeCell ref="F45:G45"/>
    <mergeCell ref="B41:C41"/>
    <mergeCell ref="F41:G41"/>
    <mergeCell ref="B42:C42"/>
    <mergeCell ref="F42:G42"/>
    <mergeCell ref="B43:C43"/>
    <mergeCell ref="F43:G43"/>
    <mergeCell ref="A11:K11"/>
    <mergeCell ref="A12:C12"/>
    <mergeCell ref="A34:C34"/>
    <mergeCell ref="A38:K38"/>
    <mergeCell ref="B40:C40"/>
    <mergeCell ref="F40:G40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26" sqref="F26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394</v>
      </c>
      <c r="H7" s="26"/>
    </row>
    <row r="8" spans="1:8" s="25" customFormat="1" ht="12.75">
      <c r="A8" s="25" t="s">
        <v>3</v>
      </c>
      <c r="F8" s="26" t="s">
        <v>395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396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397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235">
        <f>C18+C19+C20+C21+C22</f>
        <v>10.430000000000001</v>
      </c>
      <c r="D17" s="146">
        <v>534334.46</v>
      </c>
      <c r="E17" s="146">
        <v>475161.11</v>
      </c>
      <c r="F17" s="146">
        <f aca="true" t="shared" si="0" ref="F17:F24">D17</f>
        <v>534334.46</v>
      </c>
      <c r="G17" s="147">
        <f>E17-D17</f>
        <v>-59173.34999999998</v>
      </c>
      <c r="H17" s="70">
        <f aca="true" t="shared" si="1" ref="H17:H22">C17</f>
        <v>10.430000000000001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164962.3165100671</v>
      </c>
      <c r="E18" s="67">
        <f>E17*I18</f>
        <v>146694.03395973155</v>
      </c>
      <c r="F18" s="67">
        <f t="shared" si="0"/>
        <v>164962.3165100671</v>
      </c>
      <c r="G18" s="68">
        <f aca="true" t="shared" si="2" ref="G18:G27">E18-D18</f>
        <v>-18268.28255033554</v>
      </c>
      <c r="H18" s="70">
        <f t="shared" si="1"/>
        <v>3.22</v>
      </c>
      <c r="I18" s="32">
        <f>H18/H17</f>
        <v>0.3087248322147651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78382.7156088207</v>
      </c>
      <c r="E19" s="67">
        <f>E17*I19</f>
        <v>69702.4447075743</v>
      </c>
      <c r="F19" s="67">
        <f t="shared" si="0"/>
        <v>78382.7156088207</v>
      </c>
      <c r="G19" s="68">
        <f t="shared" si="2"/>
        <v>-8680.270901246404</v>
      </c>
      <c r="H19" s="70">
        <f t="shared" si="1"/>
        <v>1.53</v>
      </c>
      <c r="I19" s="32">
        <f>H19/H17</f>
        <v>0.14669223394055608</v>
      </c>
    </row>
    <row r="20" spans="1:9" s="25" customFormat="1" ht="15">
      <c r="A20" s="8" t="s">
        <v>20</v>
      </c>
      <c r="B20" s="9" t="s">
        <v>21</v>
      </c>
      <c r="C20" s="92">
        <v>1.75</v>
      </c>
      <c r="D20" s="67">
        <f>D17*I20</f>
        <v>89653.43288590602</v>
      </c>
      <c r="E20" s="67">
        <f>E17*I20</f>
        <v>79725.01845637582</v>
      </c>
      <c r="F20" s="67">
        <f t="shared" si="0"/>
        <v>89653.43288590602</v>
      </c>
      <c r="G20" s="68">
        <f t="shared" si="2"/>
        <v>-9928.414429530196</v>
      </c>
      <c r="H20" s="70">
        <f t="shared" si="1"/>
        <v>1.75</v>
      </c>
      <c r="I20" s="32">
        <f>H20/H17</f>
        <v>0.16778523489932884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138834.74464046018</v>
      </c>
      <c r="E21" s="67">
        <f>E17*I21</f>
        <v>123459.88572387343</v>
      </c>
      <c r="F21" s="67">
        <f t="shared" si="0"/>
        <v>138834.74464046018</v>
      </c>
      <c r="G21" s="68">
        <f t="shared" si="2"/>
        <v>-15374.858916586745</v>
      </c>
      <c r="H21" s="70">
        <f t="shared" si="1"/>
        <v>2.71</v>
      </c>
      <c r="I21" s="32">
        <f>H21/H17</f>
        <v>0.2598274209012464</v>
      </c>
    </row>
    <row r="22" spans="1:9" s="241" customFormat="1" ht="15">
      <c r="A22" s="231" t="s">
        <v>24</v>
      </c>
      <c r="B22" s="228" t="s">
        <v>282</v>
      </c>
      <c r="C22" s="233">
        <v>1.22</v>
      </c>
      <c r="D22" s="238">
        <f>D17*I22</f>
        <v>62501.250354745905</v>
      </c>
      <c r="E22" s="238">
        <f>E17*I22</f>
        <v>55579.72715244486</v>
      </c>
      <c r="F22" s="238">
        <f t="shared" si="0"/>
        <v>62501.250354745905</v>
      </c>
      <c r="G22" s="222">
        <f>E22-D22</f>
        <v>-6921.523202301047</v>
      </c>
      <c r="H22" s="239">
        <f t="shared" si="1"/>
        <v>1.22</v>
      </c>
      <c r="I22" s="240">
        <f>H22/H17</f>
        <v>0.11697027804410352</v>
      </c>
    </row>
    <row r="23" spans="1:11" s="72" customFormat="1" ht="14.25">
      <c r="A23" s="191" t="s">
        <v>25</v>
      </c>
      <c r="B23" s="191" t="s">
        <v>26</v>
      </c>
      <c r="C23" s="176">
        <v>3.58</v>
      </c>
      <c r="D23" s="153">
        <v>183405.05</v>
      </c>
      <c r="E23" s="153">
        <v>163334.04</v>
      </c>
      <c r="F23" s="153">
        <f t="shared" si="0"/>
        <v>183405.05</v>
      </c>
      <c r="G23" s="153">
        <f t="shared" si="2"/>
        <v>-20071.00999999998</v>
      </c>
      <c r="H23" s="154"/>
      <c r="I23" s="154"/>
      <c r="J23" s="154"/>
      <c r="K23" s="154"/>
    </row>
    <row r="24" spans="1:11" s="72" customFormat="1" ht="14.25">
      <c r="A24" s="191" t="s">
        <v>27</v>
      </c>
      <c r="B24" s="191" t="s">
        <v>28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2"/>
        <v>0</v>
      </c>
      <c r="H24" s="154"/>
      <c r="I24" s="154"/>
      <c r="J24" s="154"/>
      <c r="K24" s="154"/>
    </row>
    <row r="25" spans="1:11" s="72" customFormat="1" ht="14.25">
      <c r="A25" s="191" t="s">
        <v>29</v>
      </c>
      <c r="B25" s="191" t="s">
        <v>715</v>
      </c>
      <c r="C25" s="176">
        <v>100</v>
      </c>
      <c r="D25" s="153">
        <v>97000</v>
      </c>
      <c r="E25" s="153">
        <v>84981.26</v>
      </c>
      <c r="F25" s="153">
        <f>D25</f>
        <v>97000</v>
      </c>
      <c r="G25" s="153">
        <f t="shared" si="2"/>
        <v>-12018.740000000005</v>
      </c>
      <c r="H25" s="154"/>
      <c r="I25" s="154"/>
      <c r="J25" s="154"/>
      <c r="K25" s="154"/>
    </row>
    <row r="26" spans="1:11" s="72" customFormat="1" ht="14.25">
      <c r="A26" s="191" t="s">
        <v>31</v>
      </c>
      <c r="B26" s="191" t="s">
        <v>131</v>
      </c>
      <c r="C26" s="206">
        <v>1.92</v>
      </c>
      <c r="D26" s="153">
        <v>98362.7</v>
      </c>
      <c r="E26" s="153">
        <v>87598.26</v>
      </c>
      <c r="F26" s="153">
        <f>F41</f>
        <v>17434.1826</v>
      </c>
      <c r="G26" s="153">
        <f>E26-D26</f>
        <v>-10764.440000000002</v>
      </c>
      <c r="H26" s="154"/>
      <c r="I26" s="154"/>
      <c r="J26" s="154"/>
      <c r="K26" s="154"/>
    </row>
    <row r="27" spans="1:11" ht="14.25">
      <c r="A27" s="129" t="s">
        <v>33</v>
      </c>
      <c r="B27" s="129" t="s">
        <v>230</v>
      </c>
      <c r="C27" s="175">
        <v>1838.42</v>
      </c>
      <c r="D27" s="147">
        <v>190.9</v>
      </c>
      <c r="E27" s="147">
        <v>170.12</v>
      </c>
      <c r="F27" s="153">
        <f>D27</f>
        <v>190.9</v>
      </c>
      <c r="G27" s="147">
        <f t="shared" si="2"/>
        <v>-20.78</v>
      </c>
      <c r="H27" s="37"/>
      <c r="I27" s="37"/>
      <c r="J27" s="37"/>
      <c r="K27" s="37"/>
    </row>
    <row r="28" spans="1:11" ht="14.25">
      <c r="A28" s="129" t="s">
        <v>35</v>
      </c>
      <c r="B28" s="129" t="s">
        <v>36</v>
      </c>
      <c r="C28" s="175"/>
      <c r="D28" s="147">
        <f>SUM(D29:D32)</f>
        <v>1946467.21</v>
      </c>
      <c r="E28" s="147">
        <f>SUM(E29:E32)</f>
        <v>1772887.2799999998</v>
      </c>
      <c r="F28" s="147">
        <f>SUM(F29:F32)</f>
        <v>1946467.21</v>
      </c>
      <c r="G28" s="147">
        <f>SUM(G29:G32)</f>
        <v>-173579.9299999999</v>
      </c>
      <c r="H28" s="37"/>
      <c r="I28" s="37"/>
      <c r="J28" s="37"/>
      <c r="K28" s="37"/>
    </row>
    <row r="29" spans="1:7" ht="15">
      <c r="A29" s="9" t="s">
        <v>37</v>
      </c>
      <c r="B29" s="9" t="s">
        <v>251</v>
      </c>
      <c r="C29" s="194">
        <v>3.37</v>
      </c>
      <c r="D29" s="68">
        <v>504551.41</v>
      </c>
      <c r="E29" s="68">
        <v>451117.09</v>
      </c>
      <c r="F29" s="68">
        <f>D29</f>
        <v>504551.41</v>
      </c>
      <c r="G29" s="68">
        <f>E29-D29</f>
        <v>-53434.31999999995</v>
      </c>
    </row>
    <row r="30" spans="1:7" ht="15">
      <c r="A30" s="9" t="s">
        <v>39</v>
      </c>
      <c r="B30" s="9" t="s">
        <v>168</v>
      </c>
      <c r="C30" s="182" t="s">
        <v>398</v>
      </c>
      <c r="D30" s="68">
        <v>248351.71</v>
      </c>
      <c r="E30" s="68">
        <v>245780.88</v>
      </c>
      <c r="F30" s="68">
        <f>D30</f>
        <v>248351.71</v>
      </c>
      <c r="G30" s="68">
        <f>E30-D30</f>
        <v>-2570.829999999987</v>
      </c>
    </row>
    <row r="31" spans="1:7" ht="15">
      <c r="A31" s="9" t="s">
        <v>42</v>
      </c>
      <c r="B31" s="9" t="s">
        <v>170</v>
      </c>
      <c r="C31" s="195">
        <v>139.08</v>
      </c>
      <c r="D31" s="68">
        <v>376877.43</v>
      </c>
      <c r="E31" s="68">
        <v>369716.39</v>
      </c>
      <c r="F31" s="68">
        <f>D31</f>
        <v>376877.43</v>
      </c>
      <c r="G31" s="68">
        <f>E31-D31</f>
        <v>-7161.039999999979</v>
      </c>
    </row>
    <row r="32" spans="1:7" ht="15">
      <c r="A32" s="9" t="s">
        <v>41</v>
      </c>
      <c r="B32" s="9" t="s">
        <v>43</v>
      </c>
      <c r="C32" s="194">
        <v>2154.6</v>
      </c>
      <c r="D32" s="68">
        <v>816686.66</v>
      </c>
      <c r="E32" s="68">
        <v>706272.92</v>
      </c>
      <c r="F32" s="68">
        <f>D32</f>
        <v>816686.66</v>
      </c>
      <c r="G32" s="68">
        <f>E32-D32</f>
        <v>-110413.73999999999</v>
      </c>
    </row>
    <row r="33" spans="1:9" s="20" customFormat="1" ht="7.5" customHeight="1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D12+D17+D23+D24+D25+D26+D27+D28-E17-E23-E24-E25-E26-E27-E28</f>
        <v>275628.25000000023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G14+E26-F26</f>
        <v>70164.0774</v>
      </c>
      <c r="H36" s="40"/>
      <c r="I36" s="40"/>
    </row>
    <row r="37" spans="1:11" s="20" customFormat="1" ht="13.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1" ht="31.5" customHeight="1">
      <c r="A38" s="267" t="s">
        <v>271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  <row r="40" spans="1:12" s="18" customFormat="1" ht="37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  <c r="H40" s="57"/>
      <c r="I40" s="58"/>
      <c r="L40" s="54"/>
    </row>
    <row r="41" spans="1:12" s="12" customFormat="1" ht="15" customHeight="1">
      <c r="A41" s="11" t="s">
        <v>47</v>
      </c>
      <c r="B41" s="287" t="s">
        <v>126</v>
      </c>
      <c r="C41" s="288"/>
      <c r="D41" s="157"/>
      <c r="E41" s="157"/>
      <c r="F41" s="295">
        <f>SUM(F42:J49)</f>
        <v>17434.1826</v>
      </c>
      <c r="G41" s="291"/>
      <c r="H41" s="59"/>
      <c r="I41" s="60"/>
      <c r="L41" s="55"/>
    </row>
    <row r="42" spans="1:12" ht="15">
      <c r="A42" s="9" t="s">
        <v>16</v>
      </c>
      <c r="B42" s="271" t="s">
        <v>620</v>
      </c>
      <c r="C42" s="273"/>
      <c r="D42" s="158" t="s">
        <v>234</v>
      </c>
      <c r="E42" s="158">
        <v>1</v>
      </c>
      <c r="F42" s="308">
        <v>2445</v>
      </c>
      <c r="G42" s="309"/>
      <c r="H42" s="61"/>
      <c r="I42" s="62"/>
      <c r="L42" s="56"/>
    </row>
    <row r="43" spans="1:12" ht="15">
      <c r="A43" s="9" t="s">
        <v>18</v>
      </c>
      <c r="B43" s="271" t="s">
        <v>626</v>
      </c>
      <c r="C43" s="273"/>
      <c r="D43" s="158" t="s">
        <v>416</v>
      </c>
      <c r="E43" s="158">
        <v>0.01</v>
      </c>
      <c r="F43" s="308">
        <v>4166</v>
      </c>
      <c r="G43" s="309"/>
      <c r="H43" s="90"/>
      <c r="I43" s="90"/>
      <c r="L43" s="56"/>
    </row>
    <row r="44" spans="1:12" ht="15">
      <c r="A44" s="9" t="s">
        <v>20</v>
      </c>
      <c r="B44" s="271" t="s">
        <v>243</v>
      </c>
      <c r="C44" s="273"/>
      <c r="D44" s="158" t="s">
        <v>410</v>
      </c>
      <c r="E44" s="158">
        <v>0.01</v>
      </c>
      <c r="F44" s="308">
        <v>4776</v>
      </c>
      <c r="G44" s="309"/>
      <c r="H44" s="90"/>
      <c r="I44" s="90"/>
      <c r="L44" s="56"/>
    </row>
    <row r="45" spans="1:12" ht="15">
      <c r="A45" s="9" t="s">
        <v>22</v>
      </c>
      <c r="B45" s="271" t="s">
        <v>601</v>
      </c>
      <c r="C45" s="273"/>
      <c r="D45" s="158" t="s">
        <v>234</v>
      </c>
      <c r="E45" s="158">
        <v>38</v>
      </c>
      <c r="F45" s="308">
        <v>1520</v>
      </c>
      <c r="G45" s="309"/>
      <c r="H45" s="90"/>
      <c r="I45" s="90"/>
      <c r="L45" s="56"/>
    </row>
    <row r="46" spans="1:11" s="3" customFormat="1" ht="15">
      <c r="A46" s="242" t="s">
        <v>24</v>
      </c>
      <c r="B46" s="271" t="s">
        <v>627</v>
      </c>
      <c r="C46" s="273"/>
      <c r="D46" s="158" t="s">
        <v>234</v>
      </c>
      <c r="E46" s="158">
        <v>3</v>
      </c>
      <c r="F46" s="308">
        <v>2011.2</v>
      </c>
      <c r="G46" s="309"/>
      <c r="H46" s="25"/>
      <c r="I46" s="25"/>
      <c r="J46" s="25"/>
      <c r="K46" s="25"/>
    </row>
    <row r="47" spans="1:7" s="25" customFormat="1" ht="15">
      <c r="A47" s="9" t="s">
        <v>116</v>
      </c>
      <c r="B47" s="271" t="s">
        <v>628</v>
      </c>
      <c r="C47" s="273"/>
      <c r="D47" s="158" t="s">
        <v>234</v>
      </c>
      <c r="E47" s="158">
        <v>10</v>
      </c>
      <c r="F47" s="308">
        <v>900</v>
      </c>
      <c r="G47" s="309"/>
    </row>
    <row r="48" spans="1:11" s="25" customFormat="1" ht="15">
      <c r="A48" s="9" t="s">
        <v>117</v>
      </c>
      <c r="B48" s="271" t="s">
        <v>629</v>
      </c>
      <c r="C48" s="273"/>
      <c r="D48" s="158" t="s">
        <v>234</v>
      </c>
      <c r="E48" s="158">
        <v>5</v>
      </c>
      <c r="F48" s="308">
        <v>740</v>
      </c>
      <c r="G48" s="309"/>
      <c r="H48" s="3"/>
      <c r="I48" s="3"/>
      <c r="J48" s="3"/>
      <c r="K48" s="3"/>
    </row>
    <row r="49" spans="1:7" ht="15">
      <c r="A49" s="9" t="s">
        <v>132</v>
      </c>
      <c r="B49" s="306" t="s">
        <v>286</v>
      </c>
      <c r="C49" s="307"/>
      <c r="D49" s="199"/>
      <c r="E49" s="199"/>
      <c r="F49" s="296">
        <f>E26*1%</f>
        <v>875.9825999999999</v>
      </c>
      <c r="G49" s="296"/>
    </row>
    <row r="50" spans="1:7" ht="12.75">
      <c r="A50" s="25"/>
      <c r="B50" s="25"/>
      <c r="C50" s="25"/>
      <c r="D50" s="25"/>
      <c r="E50" s="25"/>
      <c r="F50" s="25"/>
      <c r="G50" s="25"/>
    </row>
    <row r="51" spans="1:7" ht="15">
      <c r="A51" s="3" t="s">
        <v>55</v>
      </c>
      <c r="B51" s="3"/>
      <c r="C51" s="101" t="s">
        <v>49</v>
      </c>
      <c r="D51" s="3"/>
      <c r="E51" s="3"/>
      <c r="F51" s="3" t="s">
        <v>102</v>
      </c>
      <c r="G51" s="3"/>
    </row>
    <row r="52" spans="1:7" ht="15">
      <c r="A52" s="3"/>
      <c r="B52" s="3"/>
      <c r="C52" s="101"/>
      <c r="D52" s="3"/>
      <c r="E52" s="3"/>
      <c r="F52" s="4" t="s">
        <v>303</v>
      </c>
      <c r="G52" s="3"/>
    </row>
    <row r="53" spans="1:7" ht="15">
      <c r="A53" s="3" t="s">
        <v>50</v>
      </c>
      <c r="B53" s="3"/>
      <c r="C53" s="101"/>
      <c r="D53" s="3"/>
      <c r="E53" s="3"/>
      <c r="F53" s="3"/>
      <c r="G53" s="3"/>
    </row>
    <row r="54" spans="1:7" ht="15">
      <c r="A54" s="3"/>
      <c r="B54" s="3"/>
      <c r="C54" s="106" t="s">
        <v>51</v>
      </c>
      <c r="D54" s="3"/>
      <c r="E54" s="14"/>
      <c r="F54" s="14"/>
      <c r="G54" s="14"/>
    </row>
  </sheetData>
  <sheetProtection/>
  <mergeCells count="30">
    <mergeCell ref="B49:C49"/>
    <mergeCell ref="F49:G49"/>
    <mergeCell ref="B47:C47"/>
    <mergeCell ref="F47:G47"/>
    <mergeCell ref="B48:C48"/>
    <mergeCell ref="F48:G48"/>
    <mergeCell ref="A1:K1"/>
    <mergeCell ref="A2:K2"/>
    <mergeCell ref="A3:K3"/>
    <mergeCell ref="A5:K5"/>
    <mergeCell ref="A9:K9"/>
    <mergeCell ref="A10:K10"/>
    <mergeCell ref="A11:K11"/>
    <mergeCell ref="A12:C12"/>
    <mergeCell ref="A34:C34"/>
    <mergeCell ref="A38:K38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6.00390625" style="23" customWidth="1"/>
    <col min="2" max="2" width="47.140625" style="23" customWidth="1"/>
    <col min="3" max="3" width="10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283</v>
      </c>
      <c r="H7" s="26"/>
    </row>
    <row r="8" spans="1:8" s="25" customFormat="1" ht="12.75">
      <c r="A8" s="25" t="s">
        <v>3</v>
      </c>
      <c r="F8" s="26" t="s">
        <v>284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294</v>
      </c>
      <c r="B12" s="266"/>
      <c r="C12" s="266"/>
      <c r="D12" s="73">
        <v>134957.34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313</v>
      </c>
      <c r="B14" s="43"/>
      <c r="C14" s="43"/>
      <c r="D14" s="44"/>
      <c r="E14" s="45"/>
      <c r="F14" s="45"/>
      <c r="G14" s="73">
        <f>40311.47+318995.43</f>
        <v>359306.9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28.5">
      <c r="A17" s="163" t="s">
        <v>14</v>
      </c>
      <c r="B17" s="129" t="s">
        <v>15</v>
      </c>
      <c r="C17" s="198">
        <f>C18+C19+C20+C21+C22</f>
        <v>11.469999999999999</v>
      </c>
      <c r="D17" s="146">
        <v>1221929.04</v>
      </c>
      <c r="E17" s="146">
        <v>1194727.77</v>
      </c>
      <c r="F17" s="146">
        <f aca="true" t="shared" si="0" ref="F17:F24">D17</f>
        <v>1221929.04</v>
      </c>
      <c r="G17" s="147">
        <f>E17-D17</f>
        <v>-27201.27000000002</v>
      </c>
      <c r="H17" s="70">
        <f aca="true" t="shared" si="1" ref="H17:H22">C17</f>
        <v>11.469999999999999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343035.00512641686</v>
      </c>
      <c r="E18" s="67">
        <f>E17*I18</f>
        <v>335398.7288055799</v>
      </c>
      <c r="F18" s="67">
        <f t="shared" si="0"/>
        <v>343035.00512641686</v>
      </c>
      <c r="G18" s="68">
        <f aca="true" t="shared" si="2" ref="G18:G27">E18-D18</f>
        <v>-7636.276320836972</v>
      </c>
      <c r="H18" s="70">
        <f t="shared" si="1"/>
        <v>3.22</v>
      </c>
      <c r="I18" s="32">
        <f>H18/H17</f>
        <v>0.28073234524847435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162994.89374019182</v>
      </c>
      <c r="E19" s="67">
        <f>E17*I19</f>
        <v>159366.47673060157</v>
      </c>
      <c r="F19" s="67">
        <f t="shared" si="0"/>
        <v>162994.89374019182</v>
      </c>
      <c r="G19" s="68">
        <f t="shared" si="2"/>
        <v>-3628.417009590252</v>
      </c>
      <c r="H19" s="70">
        <f t="shared" si="1"/>
        <v>1.53</v>
      </c>
      <c r="I19" s="32">
        <f>H19/H17</f>
        <v>0.13339145597210114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201346.6334437664</v>
      </c>
      <c r="E20" s="67">
        <f>E17*I20</f>
        <v>196864.47125544903</v>
      </c>
      <c r="F20" s="67">
        <f t="shared" si="0"/>
        <v>201346.6334437664</v>
      </c>
      <c r="G20" s="68">
        <f t="shared" si="2"/>
        <v>-4482.162188317365</v>
      </c>
      <c r="H20" s="70">
        <f t="shared" si="1"/>
        <v>1.89</v>
      </c>
      <c r="I20" s="32">
        <f>H20/H17</f>
        <v>0.1647776809067132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288703.3738796862</v>
      </c>
      <c r="E21" s="67">
        <f>E17*I21</f>
        <v>282276.5698953793</v>
      </c>
      <c r="F21" s="67">
        <f t="shared" si="0"/>
        <v>288703.3738796862</v>
      </c>
      <c r="G21" s="68">
        <f t="shared" si="2"/>
        <v>-6426.803984306869</v>
      </c>
      <c r="H21" s="70">
        <f t="shared" si="1"/>
        <v>2.71</v>
      </c>
      <c r="I21" s="32">
        <f>H21/H17</f>
        <v>0.23626852659110725</v>
      </c>
    </row>
    <row r="22" spans="1:9" s="25" customFormat="1" ht="15">
      <c r="A22" s="8" t="s">
        <v>24</v>
      </c>
      <c r="B22" s="9" t="s">
        <v>272</v>
      </c>
      <c r="C22" s="217">
        <v>2.12</v>
      </c>
      <c r="D22" s="67">
        <f>D17*I22</f>
        <v>225849.133809939</v>
      </c>
      <c r="E22" s="67">
        <f>E17*I22</f>
        <v>220821.52331299044</v>
      </c>
      <c r="F22" s="67">
        <f t="shared" si="0"/>
        <v>225849.133809939</v>
      </c>
      <c r="G22" s="68">
        <f t="shared" si="2"/>
        <v>-5027.6104969485605</v>
      </c>
      <c r="H22" s="70">
        <f t="shared" si="1"/>
        <v>2.12</v>
      </c>
      <c r="I22" s="32">
        <f>H22/H17</f>
        <v>0.1848299912816042</v>
      </c>
    </row>
    <row r="23" spans="1:11" s="72" customFormat="1" ht="14.25">
      <c r="A23" s="191" t="s">
        <v>25</v>
      </c>
      <c r="B23" s="191" t="s">
        <v>26</v>
      </c>
      <c r="C23" s="176">
        <v>3.58</v>
      </c>
      <c r="D23" s="153">
        <v>391209.83</v>
      </c>
      <c r="E23" s="153">
        <v>383496.87</v>
      </c>
      <c r="F23" s="153">
        <f t="shared" si="0"/>
        <v>391209.83</v>
      </c>
      <c r="G23" s="153">
        <f t="shared" si="2"/>
        <v>-7712.960000000021</v>
      </c>
      <c r="H23" s="154"/>
      <c r="I23" s="154"/>
      <c r="J23" s="154"/>
      <c r="K23" s="154"/>
    </row>
    <row r="24" spans="1:11" s="72" customFormat="1" ht="14.25">
      <c r="A24" s="191" t="s">
        <v>27</v>
      </c>
      <c r="B24" s="191" t="s">
        <v>28</v>
      </c>
      <c r="C24" s="176">
        <v>4.6</v>
      </c>
      <c r="D24" s="153">
        <v>0</v>
      </c>
      <c r="E24" s="153">
        <v>9565.02</v>
      </c>
      <c r="F24" s="153">
        <f t="shared" si="0"/>
        <v>0</v>
      </c>
      <c r="G24" s="153">
        <f t="shared" si="2"/>
        <v>9565.02</v>
      </c>
      <c r="H24" s="154"/>
      <c r="I24" s="154"/>
      <c r="J24" s="154"/>
      <c r="K24" s="154"/>
    </row>
    <row r="25" spans="1:11" s="72" customFormat="1" ht="14.25">
      <c r="A25" s="191" t="s">
        <v>29</v>
      </c>
      <c r="B25" s="191" t="s">
        <v>351</v>
      </c>
      <c r="C25" s="176">
        <v>7.12</v>
      </c>
      <c r="D25" s="153">
        <v>783200.93</v>
      </c>
      <c r="E25" s="153">
        <v>768344.55</v>
      </c>
      <c r="F25" s="153">
        <v>517695.86</v>
      </c>
      <c r="G25" s="153">
        <f t="shared" si="2"/>
        <v>-14856.380000000005</v>
      </c>
      <c r="H25" s="154"/>
      <c r="I25" s="154"/>
      <c r="J25" s="154"/>
      <c r="K25" s="154"/>
    </row>
    <row r="26" spans="1:11" s="72" customFormat="1" ht="14.25">
      <c r="A26" s="191" t="s">
        <v>31</v>
      </c>
      <c r="B26" s="191" t="s">
        <v>131</v>
      </c>
      <c r="C26" s="206" t="s">
        <v>350</v>
      </c>
      <c r="D26" s="153">
        <v>209171.96</v>
      </c>
      <c r="E26" s="153">
        <v>204959.09</v>
      </c>
      <c r="F26" s="153">
        <f>F41</f>
        <v>127215.6209</v>
      </c>
      <c r="G26" s="153">
        <f>E26-D26</f>
        <v>-4212.869999999995</v>
      </c>
      <c r="H26" s="154"/>
      <c r="I26" s="154"/>
      <c r="J26" s="154"/>
      <c r="K26" s="154"/>
    </row>
    <row r="27" spans="1:11" ht="14.25">
      <c r="A27" s="129" t="s">
        <v>33</v>
      </c>
      <c r="B27" s="129" t="s">
        <v>230</v>
      </c>
      <c r="C27" s="175">
        <v>1832.48</v>
      </c>
      <c r="D27" s="147">
        <v>4882.96</v>
      </c>
      <c r="E27" s="147">
        <v>5332.22</v>
      </c>
      <c r="F27" s="153">
        <f>D27</f>
        <v>4882.96</v>
      </c>
      <c r="G27" s="147">
        <f t="shared" si="2"/>
        <v>449.2600000000002</v>
      </c>
      <c r="H27" s="37"/>
      <c r="I27" s="37"/>
      <c r="J27" s="37"/>
      <c r="K27" s="37"/>
    </row>
    <row r="28" spans="1:11" ht="14.25">
      <c r="A28" s="129" t="s">
        <v>35</v>
      </c>
      <c r="B28" s="129" t="s">
        <v>36</v>
      </c>
      <c r="C28" s="175">
        <v>0</v>
      </c>
      <c r="D28" s="147">
        <f>SUM(D29:D32)</f>
        <v>2681115.84</v>
      </c>
      <c r="E28" s="147">
        <f>SUM(E29:E32)</f>
        <v>2606710</v>
      </c>
      <c r="F28" s="147">
        <f>SUM(F29:F32)</f>
        <v>2681115.84</v>
      </c>
      <c r="G28" s="147">
        <f>SUM(G29:G32)</f>
        <v>-74405.83999999991</v>
      </c>
      <c r="H28" s="37"/>
      <c r="I28" s="37"/>
      <c r="J28" s="37"/>
      <c r="K28" s="37"/>
    </row>
    <row r="29" spans="1:7" ht="15">
      <c r="A29" s="9" t="s">
        <v>37</v>
      </c>
      <c r="B29" s="9" t="s">
        <v>251</v>
      </c>
      <c r="C29" s="134" t="s">
        <v>315</v>
      </c>
      <c r="D29" s="68">
        <v>280295.44</v>
      </c>
      <c r="E29" s="68">
        <v>271016.5</v>
      </c>
      <c r="F29" s="68">
        <f>D29</f>
        <v>280295.44</v>
      </c>
      <c r="G29" s="68">
        <f>E29-D29</f>
        <v>-9278.940000000002</v>
      </c>
    </row>
    <row r="30" spans="1:7" ht="15">
      <c r="A30" s="9" t="s">
        <v>39</v>
      </c>
      <c r="B30" s="9" t="s">
        <v>168</v>
      </c>
      <c r="C30" s="134" t="s">
        <v>314</v>
      </c>
      <c r="D30" s="68">
        <v>561905.93</v>
      </c>
      <c r="E30" s="68">
        <v>545386.82</v>
      </c>
      <c r="F30" s="68">
        <f>D30</f>
        <v>561905.93</v>
      </c>
      <c r="G30" s="68">
        <f>E30-D30</f>
        <v>-16519.110000000102</v>
      </c>
    </row>
    <row r="31" spans="1:7" ht="15">
      <c r="A31" s="9" t="s">
        <v>42</v>
      </c>
      <c r="B31" s="9" t="s">
        <v>170</v>
      </c>
      <c r="C31" s="195"/>
      <c r="D31" s="68">
        <v>677016.34</v>
      </c>
      <c r="E31" s="68">
        <v>639744.32</v>
      </c>
      <c r="F31" s="68">
        <f>D31</f>
        <v>677016.34</v>
      </c>
      <c r="G31" s="68">
        <f>E31-D31</f>
        <v>-37272.02000000002</v>
      </c>
    </row>
    <row r="32" spans="1:7" ht="15">
      <c r="A32" s="9" t="s">
        <v>41</v>
      </c>
      <c r="B32" s="9" t="s">
        <v>43</v>
      </c>
      <c r="C32" s="194"/>
      <c r="D32" s="68">
        <v>1161898.13</v>
      </c>
      <c r="E32" s="68">
        <v>1150562.36</v>
      </c>
      <c r="F32" s="68">
        <f>D32</f>
        <v>1161898.13</v>
      </c>
      <c r="G32" s="68">
        <f>E32-D32</f>
        <v>-11335.769999999786</v>
      </c>
    </row>
    <row r="33" spans="1:9" s="20" customFormat="1" ht="7.5" customHeight="1" thickBot="1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>
      <c r="A34" s="265" t="s">
        <v>299</v>
      </c>
      <c r="B34" s="266"/>
      <c r="C34" s="266"/>
      <c r="D34" s="73">
        <f>D12+D17+D23+D24+D25+D26+D27+D28-E17-E23-E24-E25-E26-E27-E28</f>
        <v>253332.38000000035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87" t="s">
        <v>301</v>
      </c>
      <c r="B36" s="43"/>
      <c r="C36" s="43"/>
      <c r="D36" s="44"/>
      <c r="E36" s="45"/>
      <c r="F36" s="45"/>
      <c r="G36" s="38">
        <f>G14+E26-F26</f>
        <v>437050.3691</v>
      </c>
      <c r="H36" s="40"/>
      <c r="I36" s="40"/>
    </row>
    <row r="37" spans="1:11" s="20" customFormat="1" ht="13.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1" ht="31.5" customHeight="1">
      <c r="A38" s="267" t="s">
        <v>271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  <row r="40" spans="1:12" s="18" customFormat="1" ht="37.5" customHeight="1">
      <c r="A40" s="5" t="s">
        <v>11</v>
      </c>
      <c r="B40" s="285" t="s">
        <v>45</v>
      </c>
      <c r="C40" s="286"/>
      <c r="D40" s="5" t="s">
        <v>232</v>
      </c>
      <c r="E40" s="5" t="s">
        <v>231</v>
      </c>
      <c r="F40" s="285" t="s">
        <v>46</v>
      </c>
      <c r="G40" s="286"/>
      <c r="H40" s="57"/>
      <c r="I40" s="58"/>
      <c r="L40" s="54"/>
    </row>
    <row r="41" spans="1:12" s="12" customFormat="1" ht="15" customHeight="1">
      <c r="A41" s="11" t="s">
        <v>47</v>
      </c>
      <c r="B41" s="287" t="s">
        <v>126</v>
      </c>
      <c r="C41" s="288"/>
      <c r="D41" s="157"/>
      <c r="E41" s="157"/>
      <c r="F41" s="295">
        <f>SUM(F42:G52)</f>
        <v>127215.6209</v>
      </c>
      <c r="G41" s="291"/>
      <c r="H41" s="59"/>
      <c r="I41" s="60"/>
      <c r="L41" s="55"/>
    </row>
    <row r="42" spans="1:12" ht="15">
      <c r="A42" s="9" t="s">
        <v>16</v>
      </c>
      <c r="B42" s="271" t="s">
        <v>586</v>
      </c>
      <c r="C42" s="273"/>
      <c r="D42" s="158" t="s">
        <v>234</v>
      </c>
      <c r="E42" s="158">
        <v>2</v>
      </c>
      <c r="F42" s="308">
        <v>4800.89</v>
      </c>
      <c r="G42" s="309"/>
      <c r="H42" s="61"/>
      <c r="I42" s="62"/>
      <c r="L42" s="56"/>
    </row>
    <row r="43" spans="1:12" ht="15">
      <c r="A43" s="9" t="s">
        <v>18</v>
      </c>
      <c r="B43" s="271" t="s">
        <v>587</v>
      </c>
      <c r="C43" s="273"/>
      <c r="D43" s="158" t="s">
        <v>410</v>
      </c>
      <c r="E43" s="158">
        <v>0.02</v>
      </c>
      <c r="F43" s="308">
        <v>1007.39</v>
      </c>
      <c r="G43" s="309"/>
      <c r="H43" s="90"/>
      <c r="I43" s="90"/>
      <c r="L43" s="56"/>
    </row>
    <row r="44" spans="1:12" ht="15">
      <c r="A44" s="9" t="s">
        <v>20</v>
      </c>
      <c r="B44" s="271" t="s">
        <v>588</v>
      </c>
      <c r="C44" s="273"/>
      <c r="D44" s="158" t="s">
        <v>410</v>
      </c>
      <c r="E44" s="158">
        <v>0.01</v>
      </c>
      <c r="F44" s="308">
        <v>470.87</v>
      </c>
      <c r="G44" s="309"/>
      <c r="H44" s="90"/>
      <c r="I44" s="90"/>
      <c r="L44" s="56"/>
    </row>
    <row r="45" spans="1:11" s="3" customFormat="1" ht="15">
      <c r="A45" s="9" t="s">
        <v>22</v>
      </c>
      <c r="B45" s="271" t="s">
        <v>594</v>
      </c>
      <c r="C45" s="273"/>
      <c r="D45" s="158" t="s">
        <v>410</v>
      </c>
      <c r="E45" s="158">
        <v>0.01</v>
      </c>
      <c r="F45" s="308">
        <v>622.89</v>
      </c>
      <c r="G45" s="309"/>
      <c r="H45" s="25"/>
      <c r="I45" s="25"/>
      <c r="J45" s="25"/>
      <c r="K45" s="25"/>
    </row>
    <row r="46" spans="1:11" s="3" customFormat="1" ht="15" customHeight="1">
      <c r="A46" s="9" t="s">
        <v>24</v>
      </c>
      <c r="B46" s="271" t="s">
        <v>589</v>
      </c>
      <c r="C46" s="273"/>
      <c r="D46" s="158" t="s">
        <v>234</v>
      </c>
      <c r="E46" s="158">
        <v>1</v>
      </c>
      <c r="F46" s="308">
        <v>15592.01</v>
      </c>
      <c r="G46" s="309"/>
      <c r="H46" s="25"/>
      <c r="I46" s="25"/>
      <c r="J46" s="25"/>
      <c r="K46" s="25"/>
    </row>
    <row r="47" spans="1:11" s="3" customFormat="1" ht="15">
      <c r="A47" s="9" t="s">
        <v>116</v>
      </c>
      <c r="B47" s="271" t="s">
        <v>590</v>
      </c>
      <c r="C47" s="273"/>
      <c r="D47" s="158" t="s">
        <v>595</v>
      </c>
      <c r="E47" s="158">
        <v>1</v>
      </c>
      <c r="F47" s="308">
        <v>13442.02</v>
      </c>
      <c r="G47" s="309"/>
      <c r="H47" s="25"/>
      <c r="I47" s="25"/>
      <c r="J47" s="25"/>
      <c r="K47" s="25"/>
    </row>
    <row r="48" spans="1:7" s="25" customFormat="1" ht="15">
      <c r="A48" s="9" t="s">
        <v>117</v>
      </c>
      <c r="B48" s="271" t="s">
        <v>591</v>
      </c>
      <c r="C48" s="273"/>
      <c r="D48" s="158" t="s">
        <v>234</v>
      </c>
      <c r="E48" s="158">
        <v>1</v>
      </c>
      <c r="F48" s="308">
        <v>9500</v>
      </c>
      <c r="G48" s="309"/>
    </row>
    <row r="49" spans="1:11" s="25" customFormat="1" ht="15">
      <c r="A49" s="9" t="s">
        <v>132</v>
      </c>
      <c r="B49" s="271" t="s">
        <v>236</v>
      </c>
      <c r="C49" s="273"/>
      <c r="D49" s="158" t="s">
        <v>234</v>
      </c>
      <c r="E49" s="158">
        <v>5</v>
      </c>
      <c r="F49" s="308">
        <v>41999.96</v>
      </c>
      <c r="G49" s="309"/>
      <c r="H49" s="3"/>
      <c r="I49" s="3"/>
      <c r="J49" s="3"/>
      <c r="K49" s="3"/>
    </row>
    <row r="50" spans="1:7" s="25" customFormat="1" ht="15">
      <c r="A50" s="9" t="s">
        <v>133</v>
      </c>
      <c r="B50" s="271" t="s">
        <v>592</v>
      </c>
      <c r="C50" s="273"/>
      <c r="D50" s="158" t="s">
        <v>234</v>
      </c>
      <c r="E50" s="158">
        <v>1</v>
      </c>
      <c r="F50" s="308">
        <v>25730</v>
      </c>
      <c r="G50" s="309"/>
    </row>
    <row r="51" spans="1:10" s="25" customFormat="1" ht="15">
      <c r="A51" s="9" t="s">
        <v>134</v>
      </c>
      <c r="B51" s="271" t="s">
        <v>593</v>
      </c>
      <c r="C51" s="273"/>
      <c r="D51" s="158"/>
      <c r="E51" s="158"/>
      <c r="F51" s="308">
        <v>12000</v>
      </c>
      <c r="G51" s="309"/>
      <c r="H51" s="34"/>
      <c r="I51" s="34"/>
      <c r="J51" s="34"/>
    </row>
    <row r="52" spans="1:7" ht="15">
      <c r="A52" s="9" t="s">
        <v>171</v>
      </c>
      <c r="B52" s="306" t="s">
        <v>286</v>
      </c>
      <c r="C52" s="307"/>
      <c r="D52" s="199"/>
      <c r="E52" s="199"/>
      <c r="F52" s="296">
        <f>E26*1%</f>
        <v>2049.5909</v>
      </c>
      <c r="G52" s="296"/>
    </row>
    <row r="53" spans="1:7" ht="12.75">
      <c r="A53" s="25"/>
      <c r="B53" s="25"/>
      <c r="C53" s="25"/>
      <c r="D53" s="25"/>
      <c r="E53" s="25"/>
      <c r="F53" s="25"/>
      <c r="G53" s="25"/>
    </row>
    <row r="54" spans="1:7" ht="15">
      <c r="A54" s="3" t="s">
        <v>55</v>
      </c>
      <c r="B54" s="3"/>
      <c r="C54" s="101" t="s">
        <v>49</v>
      </c>
      <c r="D54" s="3"/>
      <c r="E54" s="3"/>
      <c r="F54" s="3" t="s">
        <v>102</v>
      </c>
      <c r="G54" s="3"/>
    </row>
    <row r="55" spans="1:7" ht="15">
      <c r="A55" s="3"/>
      <c r="B55" s="3"/>
      <c r="C55" s="101"/>
      <c r="D55" s="3"/>
      <c r="E55" s="3"/>
      <c r="F55" s="4" t="s">
        <v>303</v>
      </c>
      <c r="G55" s="3"/>
    </row>
    <row r="56" spans="1:7" ht="15">
      <c r="A56" s="3" t="s">
        <v>50</v>
      </c>
      <c r="B56" s="3"/>
      <c r="C56" s="101"/>
      <c r="D56" s="3"/>
      <c r="E56" s="3"/>
      <c r="F56" s="3"/>
      <c r="G56" s="3"/>
    </row>
    <row r="57" spans="1:7" ht="15">
      <c r="A57" s="3"/>
      <c r="B57" s="3"/>
      <c r="C57" s="106" t="s">
        <v>51</v>
      </c>
      <c r="D57" s="3"/>
      <c r="E57" s="14"/>
      <c r="F57" s="14"/>
      <c r="G57" s="14"/>
    </row>
  </sheetData>
  <sheetProtection/>
  <mergeCells count="36">
    <mergeCell ref="B52:C52"/>
    <mergeCell ref="F52:G52"/>
    <mergeCell ref="F51:G51"/>
    <mergeCell ref="B51:C51"/>
    <mergeCell ref="B50:C50"/>
    <mergeCell ref="F50:G50"/>
    <mergeCell ref="B47:C47"/>
    <mergeCell ref="F47:G47"/>
    <mergeCell ref="B48:C48"/>
    <mergeCell ref="F48:G48"/>
    <mergeCell ref="B49:C49"/>
    <mergeCell ref="F49:G49"/>
    <mergeCell ref="B46:C46"/>
    <mergeCell ref="F46:G46"/>
    <mergeCell ref="B44:C44"/>
    <mergeCell ref="F44:G44"/>
    <mergeCell ref="B45:C45"/>
    <mergeCell ref="F45:G45"/>
    <mergeCell ref="B41:C41"/>
    <mergeCell ref="F41:G41"/>
    <mergeCell ref="B42:C42"/>
    <mergeCell ref="F42:G42"/>
    <mergeCell ref="B43:C43"/>
    <mergeCell ref="F43:G43"/>
    <mergeCell ref="A11:K11"/>
    <mergeCell ref="A12:C12"/>
    <mergeCell ref="A34:C34"/>
    <mergeCell ref="A38:K38"/>
    <mergeCell ref="B40:C40"/>
    <mergeCell ref="F40:G40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F24" sqref="F24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378</v>
      </c>
      <c r="H7" s="26"/>
    </row>
    <row r="8" spans="1:8" s="25" customFormat="1" ht="12.75">
      <c r="A8" s="25" t="s">
        <v>3</v>
      </c>
      <c r="F8" s="26" t="s">
        <v>379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374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375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133682.03</v>
      </c>
      <c r="E17" s="146">
        <v>126158.33</v>
      </c>
      <c r="F17" s="146">
        <f aca="true" t="shared" si="0" ref="F17:F24">D17</f>
        <v>133682.03</v>
      </c>
      <c r="G17" s="147">
        <f>E17-D17</f>
        <v>-7523.699999999997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46038.089475935834</v>
      </c>
      <c r="E18" s="67">
        <f>E17*I18</f>
        <v>43447.039850267385</v>
      </c>
      <c r="F18" s="67">
        <f t="shared" si="0"/>
        <v>46038.089475935834</v>
      </c>
      <c r="G18" s="68">
        <f aca="true" t="shared" si="1" ref="G18:G26">E18-D18</f>
        <v>-2591.049625668449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21875.24127272727</v>
      </c>
      <c r="E19" s="67">
        <f>E17*I19</f>
        <v>20644.090363636366</v>
      </c>
      <c r="F19" s="67">
        <f t="shared" si="0"/>
        <v>21875.24127272727</v>
      </c>
      <c r="G19" s="68">
        <f t="shared" si="1"/>
        <v>-1231.1509090909058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27022.35686631016</v>
      </c>
      <c r="E20" s="67">
        <f>E17*I20</f>
        <v>25501.523390374332</v>
      </c>
      <c r="F20" s="67">
        <f t="shared" si="0"/>
        <v>27022.35686631016</v>
      </c>
      <c r="G20" s="68">
        <f t="shared" si="1"/>
        <v>-1520.8334759358295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38746.34238502674</v>
      </c>
      <c r="E21" s="67">
        <f>E17*I21</f>
        <v>36565.67639572193</v>
      </c>
      <c r="F21" s="67">
        <f t="shared" si="0"/>
        <v>38746.34238502674</v>
      </c>
      <c r="G21" s="68">
        <f t="shared" si="1"/>
        <v>-2180.6659893048127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26</v>
      </c>
      <c r="C22" s="176">
        <v>3.58</v>
      </c>
      <c r="D22" s="153">
        <v>51184.86</v>
      </c>
      <c r="E22" s="153">
        <v>48451.93</v>
      </c>
      <c r="F22" s="153">
        <v>0</v>
      </c>
      <c r="G22" s="153">
        <f t="shared" si="1"/>
        <v>-2732.9300000000003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716</v>
      </c>
      <c r="C23" s="176">
        <v>1.68</v>
      </c>
      <c r="D23" s="153">
        <v>24019.61</v>
      </c>
      <c r="E23" s="153">
        <v>22737.14</v>
      </c>
      <c r="F23" s="153">
        <f>D23</f>
        <v>24019.61</v>
      </c>
      <c r="G23" s="153">
        <f t="shared" si="1"/>
        <v>-1282.4700000000012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</v>
      </c>
      <c r="D25" s="153">
        <v>14297.5</v>
      </c>
      <c r="E25" s="153">
        <v>13534.09</v>
      </c>
      <c r="F25" s="153">
        <f>F39</f>
        <v>15809.240899999999</v>
      </c>
      <c r="G25" s="153">
        <f>E25-D25</f>
        <v>-763.4099999999999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348062.20999999996</v>
      </c>
      <c r="E27" s="147">
        <f>SUM(E28:E31)</f>
        <v>332639.77999999997</v>
      </c>
      <c r="F27" s="147">
        <f>SUM(F28:F31)</f>
        <v>348062.20999999996</v>
      </c>
      <c r="G27" s="147">
        <f>SUM(G28:G31)</f>
        <v>-15422.430000000006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12977.85</v>
      </c>
      <c r="E28" s="68">
        <v>12281.05</v>
      </c>
      <c r="F28" s="68">
        <f>D28</f>
        <v>12977.85</v>
      </c>
      <c r="G28" s="68">
        <f>E28-D28</f>
        <v>-696.8000000000011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61799.18</v>
      </c>
      <c r="E29" s="68">
        <v>61055.29</v>
      </c>
      <c r="F29" s="68">
        <f>D29</f>
        <v>61799.18</v>
      </c>
      <c r="G29" s="68">
        <f>E29-D29</f>
        <v>-743.8899999999994</v>
      </c>
    </row>
    <row r="30" spans="1:7" ht="15">
      <c r="A30" s="9" t="s">
        <v>42</v>
      </c>
      <c r="B30" s="9" t="s">
        <v>170</v>
      </c>
      <c r="C30" s="182" t="s">
        <v>346</v>
      </c>
      <c r="D30" s="222">
        <v>88140.03</v>
      </c>
      <c r="E30" s="222">
        <v>86532.33</v>
      </c>
      <c r="F30" s="68">
        <f>D30</f>
        <v>88140.03</v>
      </c>
      <c r="G30" s="68">
        <f>E30-D30</f>
        <v>-1607.699999999997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185145.15</v>
      </c>
      <c r="E31" s="68">
        <v>172771.11</v>
      </c>
      <c r="F31" s="68">
        <f>D31</f>
        <v>185145.15</v>
      </c>
      <c r="G31" s="68">
        <f>E31-D31</f>
        <v>-12374.040000000008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27724.939999999944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-2275.1508999999987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SUM(F40:G42)</f>
        <v>15809.240899999999</v>
      </c>
      <c r="G39" s="291"/>
      <c r="H39" s="59"/>
      <c r="I39" s="60"/>
      <c r="L39" s="55"/>
    </row>
    <row r="40" spans="1:12" ht="15">
      <c r="A40" s="9" t="s">
        <v>16</v>
      </c>
      <c r="B40" s="271" t="s">
        <v>546</v>
      </c>
      <c r="C40" s="273"/>
      <c r="D40" s="158" t="s">
        <v>410</v>
      </c>
      <c r="E40" s="158">
        <v>0.03</v>
      </c>
      <c r="F40" s="308">
        <v>6885.33</v>
      </c>
      <c r="G40" s="309"/>
      <c r="H40" s="61"/>
      <c r="I40" s="62"/>
      <c r="L40" s="56"/>
    </row>
    <row r="41" spans="1:12" ht="15">
      <c r="A41" s="9" t="s">
        <v>18</v>
      </c>
      <c r="B41" s="271" t="s">
        <v>525</v>
      </c>
      <c r="C41" s="273"/>
      <c r="D41" s="158" t="s">
        <v>410</v>
      </c>
      <c r="E41" s="158">
        <v>0.02</v>
      </c>
      <c r="F41" s="308">
        <v>8788.57</v>
      </c>
      <c r="G41" s="309"/>
      <c r="H41" s="90"/>
      <c r="I41" s="90"/>
      <c r="L41" s="56"/>
    </row>
    <row r="42" spans="1:11" s="3" customFormat="1" ht="15">
      <c r="A42" s="9" t="s">
        <v>20</v>
      </c>
      <c r="B42" s="306" t="s">
        <v>286</v>
      </c>
      <c r="C42" s="307"/>
      <c r="D42" s="199"/>
      <c r="E42" s="199"/>
      <c r="F42" s="296">
        <f>E25*1%</f>
        <v>135.3409</v>
      </c>
      <c r="G42" s="296"/>
      <c r="H42" s="25"/>
      <c r="I42" s="25"/>
      <c r="J42" s="25"/>
      <c r="K42" s="25"/>
    </row>
    <row r="43" s="25" customFormat="1" ht="9" customHeight="1"/>
    <row r="44" spans="1:11" s="25" customFormat="1" ht="1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  <c r="J44" s="3"/>
      <c r="K44" s="3"/>
    </row>
    <row r="45" spans="1:7" s="25" customFormat="1" ht="15">
      <c r="A45" s="3"/>
      <c r="B45" s="3"/>
      <c r="C45" s="101"/>
      <c r="D45" s="3"/>
      <c r="E45" s="3"/>
      <c r="F45" s="4" t="s">
        <v>303</v>
      </c>
      <c r="G45" s="3"/>
    </row>
    <row r="46" spans="1:10" s="25" customFormat="1" ht="1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11" ht="15">
      <c r="A47" s="3"/>
      <c r="B47" s="3"/>
      <c r="C47" s="106" t="s">
        <v>51</v>
      </c>
      <c r="D47" s="3"/>
      <c r="E47" s="14"/>
      <c r="F47" s="14"/>
      <c r="G47" s="14"/>
      <c r="H47" s="25"/>
      <c r="I47" s="25"/>
      <c r="J47" s="25"/>
      <c r="K47" s="25"/>
    </row>
    <row r="48" spans="1:1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E25" sqref="E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380</v>
      </c>
      <c r="H7" s="26"/>
    </row>
    <row r="8" spans="1:8" s="25" customFormat="1" ht="12.75">
      <c r="A8" s="25" t="s">
        <v>3</v>
      </c>
      <c r="F8" s="26" t="s">
        <v>381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374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375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8.93</v>
      </c>
      <c r="D17" s="146">
        <v>265928.94</v>
      </c>
      <c r="E17" s="146">
        <v>251434.3</v>
      </c>
      <c r="F17" s="146">
        <f aca="true" t="shared" si="0" ref="F17:F24">D17</f>
        <v>265928.94</v>
      </c>
      <c r="G17" s="147">
        <f>E17-D17</f>
        <v>-14494.640000000014</v>
      </c>
      <c r="H17" s="70">
        <f>C17</f>
        <v>8.93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95889.27063829788</v>
      </c>
      <c r="E18" s="67">
        <f>E17*I18</f>
        <v>90662.75991041433</v>
      </c>
      <c r="F18" s="67">
        <f t="shared" si="0"/>
        <v>95889.27063829788</v>
      </c>
      <c r="G18" s="68">
        <f aca="true" t="shared" si="1" ref="G18:G26">E18-D18</f>
        <v>-5226.510727883549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92">
        <v>1.58</v>
      </c>
      <c r="D19" s="67">
        <f>D17*I19</f>
        <v>47051.2570212766</v>
      </c>
      <c r="E19" s="67">
        <f>E17*I19</f>
        <v>44486.69585666293</v>
      </c>
      <c r="F19" s="67">
        <f t="shared" si="0"/>
        <v>47051.2570212766</v>
      </c>
      <c r="G19" s="68">
        <f t="shared" si="1"/>
        <v>-2564.5611646136676</v>
      </c>
      <c r="H19" s="70">
        <f>C19</f>
        <v>1.58</v>
      </c>
      <c r="I19" s="32">
        <f>H19/H17</f>
        <v>0.1769316909294513</v>
      </c>
    </row>
    <row r="20" spans="1:9" s="25" customFormat="1" ht="15">
      <c r="A20" s="8" t="s">
        <v>20</v>
      </c>
      <c r="B20" s="9" t="s">
        <v>21</v>
      </c>
      <c r="C20" s="92">
        <v>1.42</v>
      </c>
      <c r="D20" s="67">
        <f>D17*I20</f>
        <v>42286.57276595744</v>
      </c>
      <c r="E20" s="67">
        <f>E17*I20</f>
        <v>39981.71399776035</v>
      </c>
      <c r="F20" s="67">
        <f t="shared" si="0"/>
        <v>42286.57276595744</v>
      </c>
      <c r="G20" s="68">
        <f t="shared" si="1"/>
        <v>-2304.8587681970894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80701.83957446809</v>
      </c>
      <c r="E21" s="67">
        <f>E17*I21</f>
        <v>76303.13023516237</v>
      </c>
      <c r="F21" s="67">
        <f t="shared" si="0"/>
        <v>80701.83957446809</v>
      </c>
      <c r="G21" s="68">
        <f t="shared" si="1"/>
        <v>-4398.709339305715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26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716</v>
      </c>
      <c r="C23" s="176">
        <v>200</v>
      </c>
      <c r="D23" s="153">
        <v>119000</v>
      </c>
      <c r="E23" s="153">
        <v>114321.23</v>
      </c>
      <c r="F23" s="153">
        <f>D23</f>
        <v>119000</v>
      </c>
      <c r="G23" s="153">
        <f t="shared" si="1"/>
        <v>-4678.770000000004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1.74</v>
      </c>
      <c r="D25" s="153">
        <v>53437.33</v>
      </c>
      <c r="E25" s="153">
        <v>50573.69</v>
      </c>
      <c r="F25" s="153">
        <f>F39</f>
        <v>43963.7869</v>
      </c>
      <c r="G25" s="153">
        <f>E25-D25</f>
        <v>-2863.6399999999994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930512.01</v>
      </c>
      <c r="E27" s="147">
        <f>SUM(E28:E31)</f>
        <v>846597.31</v>
      </c>
      <c r="F27" s="147">
        <f>SUM(F28:F31)</f>
        <v>930512.01</v>
      </c>
      <c r="G27" s="147">
        <f>SUM(G28:G31)</f>
        <v>-83914.70000000001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20361</v>
      </c>
      <c r="E28" s="68">
        <v>19295.19</v>
      </c>
      <c r="F28" s="68">
        <f>D28</f>
        <v>20361</v>
      </c>
      <c r="G28" s="68">
        <f>E28-D28</f>
        <v>-1065.8100000000013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352175.36</v>
      </c>
      <c r="E29" s="68">
        <v>327241.08</v>
      </c>
      <c r="F29" s="68">
        <f>D29</f>
        <v>352175.36</v>
      </c>
      <c r="G29" s="68">
        <f>E29-D29</f>
        <v>-24934.27999999997</v>
      </c>
    </row>
    <row r="30" spans="1:7" ht="15">
      <c r="A30" s="9" t="s">
        <v>42</v>
      </c>
      <c r="B30" s="9" t="s">
        <v>170</v>
      </c>
      <c r="C30" s="182">
        <v>0</v>
      </c>
      <c r="D30" s="222">
        <v>0</v>
      </c>
      <c r="E30" s="222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82" t="s">
        <v>316</v>
      </c>
      <c r="D31" s="68">
        <v>557975.65</v>
      </c>
      <c r="E31" s="68">
        <v>500061.04</v>
      </c>
      <c r="F31" s="68">
        <f>D31</f>
        <v>557975.65</v>
      </c>
      <c r="G31" s="68">
        <f>E31-D31</f>
        <v>-57914.610000000044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105951.75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6609.903100000003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SUM(F40:G47)</f>
        <v>43963.7869</v>
      </c>
      <c r="G39" s="291"/>
      <c r="H39" s="59"/>
      <c r="I39" s="60"/>
      <c r="L39" s="55"/>
    </row>
    <row r="40" spans="1:12" ht="15">
      <c r="A40" s="9" t="s">
        <v>16</v>
      </c>
      <c r="B40" s="271" t="s">
        <v>541</v>
      </c>
      <c r="C40" s="273"/>
      <c r="D40" s="158" t="s">
        <v>234</v>
      </c>
      <c r="E40" s="158">
        <v>1</v>
      </c>
      <c r="F40" s="308">
        <v>2006.4</v>
      </c>
      <c r="G40" s="309"/>
      <c r="H40" s="61"/>
      <c r="I40" s="62"/>
      <c r="L40" s="56"/>
    </row>
    <row r="41" spans="1:12" ht="15">
      <c r="A41" s="9" t="s">
        <v>18</v>
      </c>
      <c r="B41" s="271" t="s">
        <v>539</v>
      </c>
      <c r="C41" s="273"/>
      <c r="D41" s="158"/>
      <c r="E41" s="158"/>
      <c r="F41" s="308">
        <v>158</v>
      </c>
      <c r="G41" s="309"/>
      <c r="H41" s="90"/>
      <c r="I41" s="90"/>
      <c r="L41" s="56"/>
    </row>
    <row r="42" spans="1:12" ht="15">
      <c r="A42" s="9" t="s">
        <v>20</v>
      </c>
      <c r="B42" s="271" t="s">
        <v>540</v>
      </c>
      <c r="C42" s="273"/>
      <c r="D42" s="158"/>
      <c r="E42" s="158"/>
      <c r="F42" s="308">
        <v>259</v>
      </c>
      <c r="G42" s="309"/>
      <c r="H42" s="90"/>
      <c r="I42" s="90"/>
      <c r="L42" s="56"/>
    </row>
    <row r="43" spans="1:12" ht="15">
      <c r="A43" s="9" t="s">
        <v>22</v>
      </c>
      <c r="B43" s="271" t="s">
        <v>545</v>
      </c>
      <c r="C43" s="273"/>
      <c r="D43" s="158" t="s">
        <v>416</v>
      </c>
      <c r="E43" s="158">
        <v>0.04</v>
      </c>
      <c r="F43" s="308">
        <v>4209.05</v>
      </c>
      <c r="G43" s="309"/>
      <c r="H43" s="90"/>
      <c r="I43" s="90"/>
      <c r="L43" s="56"/>
    </row>
    <row r="44" spans="1:12" ht="15">
      <c r="A44" s="9" t="s">
        <v>24</v>
      </c>
      <c r="B44" s="271" t="s">
        <v>542</v>
      </c>
      <c r="C44" s="273"/>
      <c r="D44" s="158" t="s">
        <v>426</v>
      </c>
      <c r="E44" s="158">
        <v>4</v>
      </c>
      <c r="F44" s="308">
        <v>7254.93</v>
      </c>
      <c r="G44" s="309"/>
      <c r="H44" s="90"/>
      <c r="I44" s="90"/>
      <c r="L44" s="56"/>
    </row>
    <row r="45" spans="1:12" ht="15">
      <c r="A45" s="9" t="s">
        <v>116</v>
      </c>
      <c r="B45" s="271" t="s">
        <v>543</v>
      </c>
      <c r="C45" s="273"/>
      <c r="D45" s="158" t="s">
        <v>416</v>
      </c>
      <c r="E45" s="158">
        <v>1.5</v>
      </c>
      <c r="F45" s="308">
        <v>28786.1</v>
      </c>
      <c r="G45" s="309"/>
      <c r="H45" s="90"/>
      <c r="I45" s="90"/>
      <c r="L45" s="56"/>
    </row>
    <row r="46" spans="1:12" ht="15">
      <c r="A46" s="9" t="s">
        <v>117</v>
      </c>
      <c r="B46" s="271" t="s">
        <v>544</v>
      </c>
      <c r="C46" s="273"/>
      <c r="D46" s="158"/>
      <c r="E46" s="158"/>
      <c r="F46" s="308">
        <v>784.57</v>
      </c>
      <c r="G46" s="309"/>
      <c r="H46" s="90"/>
      <c r="I46" s="90"/>
      <c r="L46" s="56"/>
    </row>
    <row r="47" spans="1:11" s="3" customFormat="1" ht="15">
      <c r="A47" s="9" t="s">
        <v>132</v>
      </c>
      <c r="B47" s="306" t="s">
        <v>286</v>
      </c>
      <c r="C47" s="307"/>
      <c r="D47" s="199"/>
      <c r="E47" s="199"/>
      <c r="F47" s="296">
        <f>E25*1%</f>
        <v>505.73690000000005</v>
      </c>
      <c r="G47" s="296"/>
      <c r="H47" s="25"/>
      <c r="I47" s="25"/>
      <c r="J47" s="25"/>
      <c r="K47" s="25"/>
    </row>
    <row r="48" s="25" customFormat="1" ht="9" customHeight="1"/>
    <row r="49" spans="1:11" s="25" customFormat="1" ht="15">
      <c r="A49" s="3" t="s">
        <v>55</v>
      </c>
      <c r="B49" s="3"/>
      <c r="C49" s="101" t="s">
        <v>49</v>
      </c>
      <c r="D49" s="3"/>
      <c r="E49" s="3"/>
      <c r="F49" s="3" t="s">
        <v>102</v>
      </c>
      <c r="G49" s="3"/>
      <c r="H49" s="3"/>
      <c r="I49" s="3"/>
      <c r="J49" s="3"/>
      <c r="K49" s="3"/>
    </row>
    <row r="50" spans="1:7" s="25" customFormat="1" ht="15">
      <c r="A50" s="3"/>
      <c r="B50" s="3"/>
      <c r="C50" s="101"/>
      <c r="D50" s="3"/>
      <c r="E50" s="3"/>
      <c r="F50" s="4" t="s">
        <v>303</v>
      </c>
      <c r="G50" s="3"/>
    </row>
    <row r="51" spans="1:10" s="25" customFormat="1" ht="15">
      <c r="A51" s="3" t="s">
        <v>50</v>
      </c>
      <c r="B51" s="3"/>
      <c r="C51" s="101"/>
      <c r="D51" s="3"/>
      <c r="E51" s="3"/>
      <c r="F51" s="3"/>
      <c r="G51" s="3"/>
      <c r="H51" s="34"/>
      <c r="I51" s="34"/>
      <c r="J51" s="34"/>
    </row>
    <row r="52" spans="1:11" ht="15">
      <c r="A52" s="3"/>
      <c r="B52" s="3"/>
      <c r="C52" s="106" t="s">
        <v>51</v>
      </c>
      <c r="D52" s="3"/>
      <c r="E52" s="14"/>
      <c r="F52" s="14"/>
      <c r="G52" s="14"/>
      <c r="H52" s="25"/>
      <c r="I52" s="25"/>
      <c r="J52" s="25"/>
      <c r="K52" s="25"/>
    </row>
    <row r="53" spans="1:1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</sheetData>
  <sheetProtection/>
  <mergeCells count="30">
    <mergeCell ref="F43:G43"/>
    <mergeCell ref="F44:G44"/>
    <mergeCell ref="F45:G45"/>
    <mergeCell ref="F46:G46"/>
    <mergeCell ref="B43:C43"/>
    <mergeCell ref="B44:C44"/>
    <mergeCell ref="B45:C45"/>
    <mergeCell ref="B46:C46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7:C47"/>
    <mergeCell ref="F47:G47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382</v>
      </c>
      <c r="H7" s="26"/>
    </row>
    <row r="8" spans="1:8" s="25" customFormat="1" ht="12.75">
      <c r="A8" s="25" t="s">
        <v>3</v>
      </c>
      <c r="F8" s="26" t="s">
        <v>383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384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385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8.93</v>
      </c>
      <c r="D17" s="146">
        <v>217744.88</v>
      </c>
      <c r="E17" s="146">
        <v>214542.28</v>
      </c>
      <c r="F17" s="146">
        <f aca="true" t="shared" si="0" ref="F17:F24">D17</f>
        <v>217744.88</v>
      </c>
      <c r="G17" s="147">
        <f>E17-D17</f>
        <v>-3202.600000000006</v>
      </c>
      <c r="H17" s="70">
        <f>C17</f>
        <v>8.93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78514.95113101904</v>
      </c>
      <c r="E18" s="67">
        <f>E17*I18</f>
        <v>77360.15023516238</v>
      </c>
      <c r="F18" s="67">
        <f t="shared" si="0"/>
        <v>78514.95113101904</v>
      </c>
      <c r="G18" s="68">
        <f aca="true" t="shared" si="1" ref="G18:G26">E18-D18</f>
        <v>-1154.8008958566643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92">
        <v>1.58</v>
      </c>
      <c r="D19" s="67">
        <f>D17*I19</f>
        <v>38525.969809630464</v>
      </c>
      <c r="E19" s="67">
        <f>E17*I19</f>
        <v>37959.3283762598</v>
      </c>
      <c r="F19" s="67">
        <f t="shared" si="0"/>
        <v>38525.969809630464</v>
      </c>
      <c r="G19" s="68">
        <f t="shared" si="1"/>
        <v>-566.6414333706634</v>
      </c>
      <c r="H19" s="70">
        <f>C19</f>
        <v>1.58</v>
      </c>
      <c r="I19" s="32">
        <f>H19/H17</f>
        <v>0.1769316909294513</v>
      </c>
    </row>
    <row r="20" spans="1:9" s="25" customFormat="1" ht="15">
      <c r="A20" s="8" t="s">
        <v>20</v>
      </c>
      <c r="B20" s="9" t="s">
        <v>21</v>
      </c>
      <c r="C20" s="92">
        <v>1.42</v>
      </c>
      <c r="D20" s="67">
        <f>D17*I20</f>
        <v>34624.60577827547</v>
      </c>
      <c r="E20" s="67">
        <f>E17*I20</f>
        <v>34115.345755879054</v>
      </c>
      <c r="F20" s="67">
        <f t="shared" si="0"/>
        <v>34624.60577827547</v>
      </c>
      <c r="G20" s="68">
        <f t="shared" si="1"/>
        <v>-509.2600223964182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66079.35328107503</v>
      </c>
      <c r="E21" s="67">
        <f>E17*I21</f>
        <v>65107.455632698766</v>
      </c>
      <c r="F21" s="67">
        <f t="shared" si="0"/>
        <v>66079.35328107503</v>
      </c>
      <c r="G21" s="68">
        <f t="shared" si="1"/>
        <v>-971.8976483762672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1684.56</v>
      </c>
      <c r="F22" s="153">
        <v>0</v>
      </c>
      <c r="G22" s="153">
        <f t="shared" si="1"/>
        <v>1684.56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3</v>
      </c>
      <c r="D25" s="153">
        <v>73346.4</v>
      </c>
      <c r="E25" s="153">
        <v>70349.66</v>
      </c>
      <c r="F25" s="153">
        <f>F39</f>
        <v>10673.866600000001</v>
      </c>
      <c r="G25" s="153">
        <f>E25-D25</f>
        <v>-2996.7399999999907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787834.1299999999</v>
      </c>
      <c r="E27" s="147">
        <f>SUM(E28:E31)</f>
        <v>802079.31</v>
      </c>
      <c r="F27" s="147">
        <f>SUM(F28:F31)</f>
        <v>787834.1299999999</v>
      </c>
      <c r="G27" s="147">
        <f>SUM(G28:G31)</f>
        <v>14245.18000000003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4914.42</v>
      </c>
      <c r="E28" s="68">
        <v>4873.63</v>
      </c>
      <c r="F28" s="68">
        <f>D28</f>
        <v>4914.42</v>
      </c>
      <c r="G28" s="68">
        <f>E28-D28</f>
        <v>-40.789999999999964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297347.04</v>
      </c>
      <c r="E29" s="68">
        <v>297065.08</v>
      </c>
      <c r="F29" s="68">
        <f>D29</f>
        <v>297347.04</v>
      </c>
      <c r="G29" s="68">
        <f>E29-D29</f>
        <v>-281.95999999996275</v>
      </c>
    </row>
    <row r="30" spans="1:7" ht="15">
      <c r="A30" s="9" t="s">
        <v>42</v>
      </c>
      <c r="B30" s="9" t="s">
        <v>170</v>
      </c>
      <c r="C30" s="182">
        <v>0</v>
      </c>
      <c r="D30" s="222">
        <v>0</v>
      </c>
      <c r="E30" s="222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82" t="s">
        <v>387</v>
      </c>
      <c r="D31" s="68">
        <v>485572.67</v>
      </c>
      <c r="E31" s="68">
        <v>500140.6</v>
      </c>
      <c r="F31" s="68">
        <f>D31</f>
        <v>485572.67</v>
      </c>
      <c r="G31" s="68">
        <f>E31-D31</f>
        <v>14567.929999999993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-9730.400000000256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59675.7934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SUM(F40:G42)</f>
        <v>10673.866600000001</v>
      </c>
      <c r="G39" s="291"/>
      <c r="H39" s="59"/>
      <c r="I39" s="60"/>
      <c r="L39" s="55"/>
    </row>
    <row r="40" spans="1:12" ht="15">
      <c r="A40" s="9" t="s">
        <v>16</v>
      </c>
      <c r="B40" s="271" t="s">
        <v>535</v>
      </c>
      <c r="C40" s="273"/>
      <c r="D40" s="158" t="s">
        <v>426</v>
      </c>
      <c r="E40" s="158">
        <v>3.4</v>
      </c>
      <c r="F40" s="308">
        <v>8226.36</v>
      </c>
      <c r="G40" s="309"/>
      <c r="H40" s="61"/>
      <c r="I40" s="62"/>
      <c r="L40" s="56"/>
    </row>
    <row r="41" spans="1:12" ht="15">
      <c r="A41" s="9" t="s">
        <v>18</v>
      </c>
      <c r="B41" s="271" t="s">
        <v>536</v>
      </c>
      <c r="C41" s="273"/>
      <c r="D41" s="158" t="s">
        <v>410</v>
      </c>
      <c r="E41" s="158">
        <v>0.03</v>
      </c>
      <c r="F41" s="308">
        <v>1744.01</v>
      </c>
      <c r="G41" s="309"/>
      <c r="H41" s="90"/>
      <c r="I41" s="90"/>
      <c r="L41" s="56"/>
    </row>
    <row r="42" spans="1:11" s="3" customFormat="1" ht="15">
      <c r="A42" s="9" t="s">
        <v>20</v>
      </c>
      <c r="B42" s="306" t="s">
        <v>286</v>
      </c>
      <c r="C42" s="307"/>
      <c r="D42" s="199"/>
      <c r="E42" s="199"/>
      <c r="F42" s="296">
        <f>E25*1%</f>
        <v>703.4966000000001</v>
      </c>
      <c r="G42" s="296"/>
      <c r="H42" s="25"/>
      <c r="I42" s="25"/>
      <c r="J42" s="25"/>
      <c r="K42" s="25"/>
    </row>
    <row r="43" s="25" customFormat="1" ht="9" customHeight="1"/>
    <row r="44" spans="1:11" s="25" customFormat="1" ht="1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  <c r="J44" s="3"/>
      <c r="K44" s="3"/>
    </row>
    <row r="45" spans="1:7" s="25" customFormat="1" ht="15">
      <c r="A45" s="3"/>
      <c r="B45" s="3"/>
      <c r="C45" s="101"/>
      <c r="D45" s="3"/>
      <c r="E45" s="3"/>
      <c r="F45" s="4" t="s">
        <v>303</v>
      </c>
      <c r="G45" s="3"/>
    </row>
    <row r="46" spans="1:10" s="25" customFormat="1" ht="1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11" ht="15">
      <c r="A47" s="3"/>
      <c r="B47" s="3"/>
      <c r="C47" s="106" t="s">
        <v>51</v>
      </c>
      <c r="D47" s="3"/>
      <c r="E47" s="14"/>
      <c r="F47" s="14"/>
      <c r="G47" s="14"/>
      <c r="H47" s="25"/>
      <c r="I47" s="25"/>
      <c r="J47" s="25"/>
      <c r="K47" s="25"/>
    </row>
    <row r="48" spans="1:1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39" sqref="G39"/>
    </sheetView>
  </sheetViews>
  <sheetFormatPr defaultColWidth="9.140625" defaultRowHeight="15" outlineLevelCol="1"/>
  <cols>
    <col min="1" max="1" width="4.7109375" style="1" customWidth="1"/>
    <col min="2" max="2" width="47.7109375" style="1" customWidth="1"/>
    <col min="3" max="3" width="13.28125" style="1" customWidth="1"/>
    <col min="4" max="4" width="13.140625" style="1" customWidth="1"/>
    <col min="5" max="5" width="13.8515625" style="1" customWidth="1"/>
    <col min="6" max="6" width="13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79" t="s">
        <v>52</v>
      </c>
      <c r="B2" s="279"/>
      <c r="C2" s="279"/>
      <c r="D2" s="279"/>
      <c r="E2" s="279"/>
      <c r="F2" s="279"/>
      <c r="G2" s="279"/>
      <c r="H2" s="279"/>
      <c r="I2" s="279"/>
    </row>
    <row r="3" spans="1:11" ht="1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9" ht="10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80" t="s">
        <v>1</v>
      </c>
      <c r="B5" s="279"/>
      <c r="C5" s="279"/>
      <c r="D5" s="279"/>
      <c r="E5" s="279"/>
      <c r="F5" s="279"/>
      <c r="G5" s="279"/>
      <c r="H5" s="279"/>
      <c r="I5" s="279"/>
    </row>
    <row r="7" spans="1:5" s="3" customFormat="1" ht="16.5" customHeight="1">
      <c r="A7" s="3" t="s">
        <v>2</v>
      </c>
      <c r="E7" s="4" t="s">
        <v>61</v>
      </c>
    </row>
    <row r="8" spans="1:5" s="3" customFormat="1" ht="15">
      <c r="A8" s="3" t="s">
        <v>3</v>
      </c>
      <c r="E8" s="4" t="s">
        <v>180</v>
      </c>
    </row>
    <row r="9" s="3" customFormat="1" ht="8.25" customHeight="1"/>
    <row r="10" spans="1:9" s="3" customFormat="1" ht="15">
      <c r="A10" s="264" t="s">
        <v>8</v>
      </c>
      <c r="B10" s="264"/>
      <c r="C10" s="264"/>
      <c r="D10" s="264"/>
      <c r="E10" s="264"/>
      <c r="F10" s="264"/>
      <c r="G10" s="264"/>
      <c r="H10" s="264"/>
      <c r="I10" s="264"/>
    </row>
    <row r="11" spans="1:9" s="3" customFormat="1" ht="15">
      <c r="A11" s="264" t="s">
        <v>9</v>
      </c>
      <c r="B11" s="264"/>
      <c r="C11" s="264"/>
      <c r="D11" s="264"/>
      <c r="E11" s="264"/>
      <c r="F11" s="264"/>
      <c r="G11" s="264"/>
      <c r="H11" s="264"/>
      <c r="I11" s="264"/>
    </row>
    <row r="12" spans="1:9" s="3" customFormat="1" ht="15.75" thickBot="1">
      <c r="A12" s="264" t="s">
        <v>10</v>
      </c>
      <c r="B12" s="264"/>
      <c r="C12" s="264"/>
      <c r="D12" s="264"/>
      <c r="E12" s="264"/>
      <c r="F12" s="264"/>
      <c r="G12" s="264"/>
      <c r="H12" s="264"/>
      <c r="I12" s="264"/>
    </row>
    <row r="13" spans="1:9" s="15" customFormat="1" ht="16.5" customHeight="1" thickBot="1">
      <c r="A13" s="265" t="s">
        <v>294</v>
      </c>
      <c r="B13" s="266"/>
      <c r="C13" s="266"/>
      <c r="D13" s="38">
        <v>562481.79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87" t="s">
        <v>228</v>
      </c>
      <c r="B15" s="43"/>
      <c r="C15" s="43"/>
      <c r="D15" s="44"/>
      <c r="E15" s="45"/>
      <c r="F15" s="45"/>
      <c r="G15" s="38">
        <v>86554.33</v>
      </c>
      <c r="H15" s="40"/>
      <c r="I15" s="40"/>
    </row>
    <row r="16" spans="1:9" s="15" customFormat="1" ht="15.75" thickBot="1">
      <c r="A16" s="87" t="s">
        <v>229</v>
      </c>
      <c r="B16" s="43"/>
      <c r="C16" s="43"/>
      <c r="D16" s="44"/>
      <c r="E16" s="45"/>
      <c r="F16" s="45"/>
      <c r="G16" s="38">
        <v>181035.21</v>
      </c>
      <c r="H16" s="40"/>
      <c r="I16" s="40"/>
    </row>
    <row r="17" s="3" customFormat="1" ht="7.5" customHeight="1"/>
    <row r="18" spans="1:7" s="18" customFormat="1" ht="38.25">
      <c r="A18" s="6" t="s">
        <v>11</v>
      </c>
      <c r="B18" s="6" t="s">
        <v>12</v>
      </c>
      <c r="C18" s="6" t="s">
        <v>103</v>
      </c>
      <c r="D18" s="6" t="s">
        <v>295</v>
      </c>
      <c r="E18" s="6" t="s">
        <v>296</v>
      </c>
      <c r="F18" s="17" t="s">
        <v>297</v>
      </c>
      <c r="G18" s="6" t="s">
        <v>298</v>
      </c>
    </row>
    <row r="19" spans="1:8" s="165" customFormat="1" ht="28.5">
      <c r="A19" s="163" t="s">
        <v>14</v>
      </c>
      <c r="B19" s="129" t="s">
        <v>15</v>
      </c>
      <c r="C19" s="145">
        <f>C20+C21+C22+C23</f>
        <v>9.350000000000001</v>
      </c>
      <c r="D19" s="146">
        <v>285678</v>
      </c>
      <c r="E19" s="146">
        <v>268893.97</v>
      </c>
      <c r="F19" s="146">
        <f>D19</f>
        <v>285678</v>
      </c>
      <c r="G19" s="147">
        <f aca="true" t="shared" si="0" ref="G19:G28">E19-D19</f>
        <v>-16784.030000000028</v>
      </c>
      <c r="H19" s="70">
        <f>C19</f>
        <v>9.350000000000001</v>
      </c>
    </row>
    <row r="20" spans="1:9" s="3" customFormat="1" ht="15">
      <c r="A20" s="8" t="s">
        <v>16</v>
      </c>
      <c r="B20" s="9" t="s">
        <v>17</v>
      </c>
      <c r="C20" s="139">
        <v>3.22</v>
      </c>
      <c r="D20" s="67">
        <f>D19*I20</f>
        <v>98383.22566844919</v>
      </c>
      <c r="E20" s="67">
        <f>E19*I20</f>
        <v>92603.05704812832</v>
      </c>
      <c r="F20" s="67">
        <f>D20</f>
        <v>98383.22566844919</v>
      </c>
      <c r="G20" s="68">
        <f t="shared" si="0"/>
        <v>-5780.1686203208665</v>
      </c>
      <c r="H20" s="70">
        <f>C20</f>
        <v>3.22</v>
      </c>
      <c r="I20" s="15">
        <f>H20/H19</f>
        <v>0.3443850267379679</v>
      </c>
    </row>
    <row r="21" spans="1:9" s="3" customFormat="1" ht="15">
      <c r="A21" s="8" t="s">
        <v>18</v>
      </c>
      <c r="B21" s="9" t="s">
        <v>19</v>
      </c>
      <c r="C21" s="139">
        <v>1.53</v>
      </c>
      <c r="D21" s="67">
        <f>D19*I21</f>
        <v>46747.30909090908</v>
      </c>
      <c r="E21" s="67">
        <f>E19*I21</f>
        <v>44000.83145454544</v>
      </c>
      <c r="F21" s="67">
        <f>D21</f>
        <v>46747.30909090908</v>
      </c>
      <c r="G21" s="68">
        <f t="shared" si="0"/>
        <v>-2746.477636363641</v>
      </c>
      <c r="H21" s="70">
        <f>C21</f>
        <v>1.53</v>
      </c>
      <c r="I21" s="15">
        <f>H21/H19</f>
        <v>0.1636363636363636</v>
      </c>
    </row>
    <row r="22" spans="1:9" s="3" customFormat="1" ht="15">
      <c r="A22" s="8" t="s">
        <v>20</v>
      </c>
      <c r="B22" s="9" t="s">
        <v>21</v>
      </c>
      <c r="C22" s="139">
        <f>0.5+0.47+0.3+0.3+0.18+0.14</f>
        <v>1.8900000000000001</v>
      </c>
      <c r="D22" s="67">
        <f>D19*I22</f>
        <v>57746.67593582887</v>
      </c>
      <c r="E22" s="67">
        <f>E19*I22</f>
        <v>54353.96826737967</v>
      </c>
      <c r="F22" s="67">
        <f>D22</f>
        <v>57746.67593582887</v>
      </c>
      <c r="G22" s="68">
        <f t="shared" si="0"/>
        <v>-3392.7076684491985</v>
      </c>
      <c r="H22" s="70">
        <f>C22</f>
        <v>1.8900000000000001</v>
      </c>
      <c r="I22" s="15">
        <f>H22/H19</f>
        <v>0.20213903743315506</v>
      </c>
    </row>
    <row r="23" spans="1:9" s="3" customFormat="1" ht="15">
      <c r="A23" s="8" t="s">
        <v>22</v>
      </c>
      <c r="B23" s="9" t="s">
        <v>23</v>
      </c>
      <c r="C23" s="139">
        <v>2.71</v>
      </c>
      <c r="D23" s="67">
        <f>D19*I23</f>
        <v>82800.78930481282</v>
      </c>
      <c r="E23" s="67">
        <f>E19*I23</f>
        <v>77936.11322994651</v>
      </c>
      <c r="F23" s="67">
        <f>D23</f>
        <v>82800.78930481282</v>
      </c>
      <c r="G23" s="68">
        <f t="shared" si="0"/>
        <v>-4864.676074866307</v>
      </c>
      <c r="H23" s="70">
        <f>C23</f>
        <v>2.71</v>
      </c>
      <c r="I23" s="15">
        <f>H23/H19</f>
        <v>0.28983957219251333</v>
      </c>
    </row>
    <row r="24" spans="1:7" s="162" customFormat="1" ht="14.25">
      <c r="A24" s="129" t="s">
        <v>25</v>
      </c>
      <c r="B24" s="151" t="s">
        <v>26</v>
      </c>
      <c r="C24" s="152">
        <v>0</v>
      </c>
      <c r="D24" s="147">
        <v>0</v>
      </c>
      <c r="E24" s="147">
        <v>0</v>
      </c>
      <c r="F24" s="146">
        <f aca="true" t="shared" si="1" ref="F24:F33">D24</f>
        <v>0</v>
      </c>
      <c r="G24" s="147">
        <f t="shared" si="0"/>
        <v>0</v>
      </c>
    </row>
    <row r="25" spans="1:7" s="162" customFormat="1" ht="14.25">
      <c r="A25" s="129" t="s">
        <v>27</v>
      </c>
      <c r="B25" s="151" t="s">
        <v>28</v>
      </c>
      <c r="C25" s="152">
        <v>0</v>
      </c>
      <c r="D25" s="147">
        <v>0</v>
      </c>
      <c r="E25" s="147">
        <v>1947.46</v>
      </c>
      <c r="F25" s="146">
        <f>D25</f>
        <v>0</v>
      </c>
      <c r="G25" s="147">
        <f t="shared" si="0"/>
        <v>1947.46</v>
      </c>
    </row>
    <row r="26" spans="1:7" s="162" customFormat="1" ht="14.25">
      <c r="A26" s="129" t="s">
        <v>29</v>
      </c>
      <c r="B26" s="151" t="s">
        <v>230</v>
      </c>
      <c r="C26" s="152">
        <v>0</v>
      </c>
      <c r="D26" s="147">
        <v>0</v>
      </c>
      <c r="E26" s="147">
        <v>0</v>
      </c>
      <c r="F26" s="146">
        <f t="shared" si="1"/>
        <v>0</v>
      </c>
      <c r="G26" s="147">
        <f t="shared" si="0"/>
        <v>0</v>
      </c>
    </row>
    <row r="27" spans="1:7" s="162" customFormat="1" ht="14.25">
      <c r="A27" s="129" t="s">
        <v>31</v>
      </c>
      <c r="B27" s="151" t="s">
        <v>131</v>
      </c>
      <c r="C27" s="152">
        <v>1.92</v>
      </c>
      <c r="D27" s="147">
        <v>58662.72</v>
      </c>
      <c r="E27" s="147">
        <v>55262.01</v>
      </c>
      <c r="F27" s="146">
        <f>F44</f>
        <v>10294.6801</v>
      </c>
      <c r="G27" s="147">
        <f t="shared" si="0"/>
        <v>-3400.709999999999</v>
      </c>
    </row>
    <row r="28" spans="1:7" s="162" customFormat="1" ht="14.25">
      <c r="A28" s="129" t="s">
        <v>33</v>
      </c>
      <c r="B28" s="36" t="s">
        <v>34</v>
      </c>
      <c r="C28" s="145">
        <v>0</v>
      </c>
      <c r="D28" s="147">
        <v>0</v>
      </c>
      <c r="E28" s="147">
        <v>0</v>
      </c>
      <c r="F28" s="146">
        <f>D28</f>
        <v>0</v>
      </c>
      <c r="G28" s="147">
        <f t="shared" si="0"/>
        <v>0</v>
      </c>
    </row>
    <row r="29" spans="1:7" s="162" customFormat="1" ht="14.25">
      <c r="A29" s="129" t="s">
        <v>35</v>
      </c>
      <c r="B29" s="36" t="s">
        <v>36</v>
      </c>
      <c r="C29" s="145"/>
      <c r="D29" s="147">
        <f>SUM(D30:D33)</f>
        <v>1757869.06</v>
      </c>
      <c r="E29" s="147">
        <f>SUM(E30:E33)</f>
        <v>1661986.35</v>
      </c>
      <c r="F29" s="146">
        <f t="shared" si="1"/>
        <v>1757869.06</v>
      </c>
      <c r="G29" s="147">
        <f>SUM(G30:G33)</f>
        <v>-95882.70999999998</v>
      </c>
    </row>
    <row r="30" spans="1:7" ht="15">
      <c r="A30" s="9" t="s">
        <v>37</v>
      </c>
      <c r="B30" s="9" t="s">
        <v>235</v>
      </c>
      <c r="C30" s="134" t="s">
        <v>315</v>
      </c>
      <c r="D30" s="68">
        <v>8304.54</v>
      </c>
      <c r="E30" s="68">
        <v>7840.06</v>
      </c>
      <c r="F30" s="67">
        <f>D30</f>
        <v>8304.54</v>
      </c>
      <c r="G30" s="68">
        <f>E30-D30</f>
        <v>-464.4800000000005</v>
      </c>
    </row>
    <row r="31" spans="1:7" ht="15">
      <c r="A31" s="9" t="s">
        <v>39</v>
      </c>
      <c r="B31" s="9" t="s">
        <v>168</v>
      </c>
      <c r="C31" s="134" t="s">
        <v>314</v>
      </c>
      <c r="D31" s="68">
        <v>334091.47</v>
      </c>
      <c r="E31" s="68">
        <v>321194.82</v>
      </c>
      <c r="F31" s="67">
        <f t="shared" si="1"/>
        <v>334091.47</v>
      </c>
      <c r="G31" s="68">
        <f>E31-D31</f>
        <v>-12896.649999999965</v>
      </c>
    </row>
    <row r="32" spans="1:7" s="97" customFormat="1" ht="15">
      <c r="A32" s="95" t="s">
        <v>42</v>
      </c>
      <c r="B32" s="9" t="s">
        <v>40</v>
      </c>
      <c r="C32" s="182" t="s">
        <v>342</v>
      </c>
      <c r="D32" s="96">
        <v>483070.87</v>
      </c>
      <c r="E32" s="96">
        <v>458584.56</v>
      </c>
      <c r="F32" s="67">
        <f t="shared" si="1"/>
        <v>483070.87</v>
      </c>
      <c r="G32" s="96">
        <f>E32-D32</f>
        <v>-24486.309999999998</v>
      </c>
    </row>
    <row r="33" spans="1:7" ht="15">
      <c r="A33" s="9" t="s">
        <v>41</v>
      </c>
      <c r="B33" s="9" t="s">
        <v>43</v>
      </c>
      <c r="C33" s="134" t="s">
        <v>316</v>
      </c>
      <c r="D33" s="68">
        <v>932402.18</v>
      </c>
      <c r="E33" s="68">
        <v>874366.91</v>
      </c>
      <c r="F33" s="67">
        <f t="shared" si="1"/>
        <v>932402.18</v>
      </c>
      <c r="G33" s="68">
        <f>E33-D33</f>
        <v>-58035.27000000002</v>
      </c>
    </row>
    <row r="34" spans="1:10" s="20" customFormat="1" ht="6.7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265" t="s">
        <v>299</v>
      </c>
      <c r="B35" s="266"/>
      <c r="C35" s="266"/>
      <c r="D35" s="73">
        <f>D13+D19+D24+D25+D26+D27+D28+D29-E19-E24-E25-E26-E27-E28-E29</f>
        <v>676601.7800000007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87" t="s">
        <v>300</v>
      </c>
      <c r="B37" s="43"/>
      <c r="C37" s="43"/>
      <c r="D37" s="44"/>
      <c r="E37" s="45"/>
      <c r="F37" s="45"/>
      <c r="G37" s="38">
        <f>G15+E28-F28</f>
        <v>86554.33</v>
      </c>
      <c r="H37" s="40"/>
      <c r="I37" s="40"/>
    </row>
    <row r="38" spans="1:9" s="15" customFormat="1" ht="15.75" thickBot="1">
      <c r="A38" s="87" t="s">
        <v>301</v>
      </c>
      <c r="B38" s="43"/>
      <c r="C38" s="43"/>
      <c r="D38" s="44"/>
      <c r="E38" s="45"/>
      <c r="F38" s="45"/>
      <c r="G38" s="38">
        <f>G16+E27-F27</f>
        <v>226002.5399</v>
      </c>
      <c r="H38" s="40"/>
      <c r="I38" s="40"/>
    </row>
    <row r="39" spans="1:9" s="15" customFormat="1" ht="15">
      <c r="A39" s="89"/>
      <c r="B39" s="41"/>
      <c r="C39" s="41"/>
      <c r="D39" s="42"/>
      <c r="E39" s="39"/>
      <c r="F39" s="39"/>
      <c r="G39" s="42"/>
      <c r="H39" s="40"/>
      <c r="I39" s="40"/>
    </row>
    <row r="40" spans="2:5" ht="9" customHeight="1">
      <c r="B40" s="13"/>
      <c r="C40" s="13"/>
      <c r="D40" s="13"/>
      <c r="E40" s="13"/>
    </row>
    <row r="41" spans="1:9" ht="21" customHeight="1">
      <c r="A41" s="267" t="s">
        <v>44</v>
      </c>
      <c r="B41" s="267"/>
      <c r="C41" s="267"/>
      <c r="D41" s="267"/>
      <c r="E41" s="267"/>
      <c r="F41" s="267"/>
      <c r="G41" s="267"/>
      <c r="H41" s="267"/>
      <c r="I41" s="267"/>
    </row>
    <row r="42" ht="5.25" customHeight="1"/>
    <row r="43" spans="1:7" s="7" customFormat="1" ht="28.5" customHeight="1">
      <c r="A43" s="5" t="s">
        <v>11</v>
      </c>
      <c r="B43" s="285" t="s">
        <v>45</v>
      </c>
      <c r="C43" s="286"/>
      <c r="D43" s="5" t="s">
        <v>232</v>
      </c>
      <c r="E43" s="5" t="s">
        <v>231</v>
      </c>
      <c r="F43" s="285" t="s">
        <v>46</v>
      </c>
      <c r="G43" s="291"/>
    </row>
    <row r="44" spans="1:7" s="12" customFormat="1" ht="15" customHeight="1">
      <c r="A44" s="11" t="s">
        <v>47</v>
      </c>
      <c r="B44" s="287" t="s">
        <v>126</v>
      </c>
      <c r="C44" s="288"/>
      <c r="D44" s="169"/>
      <c r="E44" s="169"/>
      <c r="F44" s="295">
        <f>SUM(F45:G48)</f>
        <v>10294.6801</v>
      </c>
      <c r="G44" s="291"/>
    </row>
    <row r="45" spans="1:7" ht="15.75" customHeight="1">
      <c r="A45" s="9" t="s">
        <v>16</v>
      </c>
      <c r="B45" s="275" t="s">
        <v>430</v>
      </c>
      <c r="C45" s="276"/>
      <c r="D45" s="168" t="s">
        <v>234</v>
      </c>
      <c r="E45" s="168"/>
      <c r="F45" s="294">
        <v>5091</v>
      </c>
      <c r="G45" s="294"/>
    </row>
    <row r="46" spans="1:7" ht="15.75" customHeight="1">
      <c r="A46" s="9" t="s">
        <v>18</v>
      </c>
      <c r="B46" s="275" t="s">
        <v>440</v>
      </c>
      <c r="C46" s="276"/>
      <c r="D46" s="168" t="s">
        <v>416</v>
      </c>
      <c r="E46" s="168">
        <v>0.02</v>
      </c>
      <c r="F46" s="294">
        <v>2994.26</v>
      </c>
      <c r="G46" s="294"/>
    </row>
    <row r="47" spans="1:7" ht="15.75" customHeight="1">
      <c r="A47" s="9" t="s">
        <v>20</v>
      </c>
      <c r="B47" s="275" t="s">
        <v>441</v>
      </c>
      <c r="C47" s="276"/>
      <c r="D47" s="168" t="s">
        <v>234</v>
      </c>
      <c r="E47" s="168">
        <v>4</v>
      </c>
      <c r="F47" s="294">
        <v>1656.8</v>
      </c>
      <c r="G47" s="294"/>
    </row>
    <row r="48" spans="1:7" s="48" customFormat="1" ht="15.75" customHeight="1">
      <c r="A48" s="9" t="s">
        <v>22</v>
      </c>
      <c r="B48" s="306" t="s">
        <v>286</v>
      </c>
      <c r="C48" s="307"/>
      <c r="D48" s="181"/>
      <c r="E48" s="181"/>
      <c r="F48" s="296">
        <f>E27*1%</f>
        <v>552.6201</v>
      </c>
      <c r="G48" s="296"/>
    </row>
    <row r="49" s="3" customFormat="1" ht="15"/>
    <row r="50" spans="1:6" s="3" customFormat="1" ht="15">
      <c r="A50" s="3" t="s">
        <v>55</v>
      </c>
      <c r="C50" s="3" t="s">
        <v>49</v>
      </c>
      <c r="F50" s="3" t="s">
        <v>102</v>
      </c>
    </row>
    <row r="51" s="3" customFormat="1" ht="13.5" customHeight="1">
      <c r="F51" s="4" t="s">
        <v>303</v>
      </c>
    </row>
    <row r="52" s="3" customFormat="1" ht="15">
      <c r="A52" s="3" t="s">
        <v>50</v>
      </c>
    </row>
    <row r="53" spans="3:7" s="3" customFormat="1" ht="15">
      <c r="C53" s="14" t="s">
        <v>51</v>
      </c>
      <c r="E53" s="14"/>
      <c r="F53" s="14"/>
      <c r="G53" s="14"/>
    </row>
    <row r="54" s="3" customFormat="1" ht="15"/>
    <row r="55" s="3" customFormat="1" ht="15"/>
  </sheetData>
  <sheetProtection/>
  <mergeCells count="22">
    <mergeCell ref="F47:G47"/>
    <mergeCell ref="A11:I11"/>
    <mergeCell ref="A41:I41"/>
    <mergeCell ref="A13:C13"/>
    <mergeCell ref="A12:I12"/>
    <mergeCell ref="A35:C35"/>
    <mergeCell ref="A1:I1"/>
    <mergeCell ref="A2:I2"/>
    <mergeCell ref="A5:I5"/>
    <mergeCell ref="A10:I10"/>
    <mergeCell ref="A3:K3"/>
    <mergeCell ref="F43:G43"/>
    <mergeCell ref="F48:G48"/>
    <mergeCell ref="F44:G44"/>
    <mergeCell ref="F45:G45"/>
    <mergeCell ref="B43:C43"/>
    <mergeCell ref="B44:C44"/>
    <mergeCell ref="B45:C45"/>
    <mergeCell ref="B48:C48"/>
    <mergeCell ref="B46:C46"/>
    <mergeCell ref="F46:G46"/>
    <mergeCell ref="B47:C47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24" sqref="F24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399</v>
      </c>
      <c r="H7" s="26"/>
    </row>
    <row r="8" spans="1:8" s="25" customFormat="1" ht="12.75">
      <c r="A8" s="25" t="s">
        <v>3</v>
      </c>
      <c r="F8" s="26" t="s">
        <v>400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396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397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143597.22</v>
      </c>
      <c r="E17" s="146">
        <v>125879.58</v>
      </c>
      <c r="F17" s="146">
        <f aca="true" t="shared" si="0" ref="F17:F23">D17</f>
        <v>143597.22</v>
      </c>
      <c r="G17" s="147">
        <f>E17-D17</f>
        <v>-17717.64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49452.732449197865</v>
      </c>
      <c r="E18" s="67">
        <f>E17*I18</f>
        <v>43351.04252406418</v>
      </c>
      <c r="F18" s="67">
        <f t="shared" si="0"/>
        <v>49452.732449197865</v>
      </c>
      <c r="G18" s="68">
        <f aca="true" t="shared" si="1" ref="G18:G26">E18-D18</f>
        <v>-6101.689925133687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23497.72690909091</v>
      </c>
      <c r="E19" s="67">
        <f>E17*I19</f>
        <v>20598.476727272726</v>
      </c>
      <c r="F19" s="67">
        <f t="shared" si="0"/>
        <v>23497.72690909091</v>
      </c>
      <c r="G19" s="68">
        <f t="shared" si="1"/>
        <v>-2899.2501818181845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29026.603828877007</v>
      </c>
      <c r="E20" s="67">
        <f>E17*I20</f>
        <v>25445.177133689842</v>
      </c>
      <c r="F20" s="67">
        <f t="shared" si="0"/>
        <v>29026.603828877007</v>
      </c>
      <c r="G20" s="68">
        <f t="shared" si="1"/>
        <v>-3581.426695187165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41620.156812834226</v>
      </c>
      <c r="E21" s="67">
        <f>E17*I21</f>
        <v>36484.88361497327</v>
      </c>
      <c r="F21" s="67">
        <f t="shared" si="0"/>
        <v>41620.156812834226</v>
      </c>
      <c r="G21" s="68">
        <f t="shared" si="1"/>
        <v>-5135.273197860959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401</v>
      </c>
      <c r="C24" s="176">
        <v>3</v>
      </c>
      <c r="D24" s="153">
        <v>46073.7</v>
      </c>
      <c r="E24" s="153">
        <v>40388.96</v>
      </c>
      <c r="F24" s="153">
        <v>0</v>
      </c>
      <c r="G24" s="153">
        <f t="shared" si="1"/>
        <v>-5684.739999999998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3</v>
      </c>
      <c r="D25" s="153">
        <v>46073.7</v>
      </c>
      <c r="E25" s="153">
        <v>40388.96</v>
      </c>
      <c r="F25" s="153">
        <f>F40</f>
        <v>11170.3496</v>
      </c>
      <c r="G25" s="153">
        <f>E25-D25</f>
        <v>-5684.739999999998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396765.28</v>
      </c>
      <c r="E27" s="147">
        <f>SUM(E28:E31)</f>
        <v>302098.05</v>
      </c>
      <c r="F27" s="147">
        <f>SUM(F28:F31)</f>
        <v>396765.28</v>
      </c>
      <c r="G27" s="147">
        <f>SUM(G28:G31)</f>
        <v>-94667.23000000001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>
        <v>4.82</v>
      </c>
      <c r="D28" s="68">
        <v>10394.43</v>
      </c>
      <c r="E28" s="68">
        <v>9111.92</v>
      </c>
      <c r="F28" s="68">
        <f>D28</f>
        <v>10394.43</v>
      </c>
      <c r="G28" s="68">
        <f>E28-D28</f>
        <v>-1282.5100000000002</v>
      </c>
    </row>
    <row r="29" spans="1:7" ht="15">
      <c r="A29" s="9" t="s">
        <v>39</v>
      </c>
      <c r="B29" s="9" t="s">
        <v>168</v>
      </c>
      <c r="C29" s="134" t="s">
        <v>398</v>
      </c>
      <c r="D29" s="68">
        <v>130718.75</v>
      </c>
      <c r="E29" s="68">
        <v>107172.34</v>
      </c>
      <c r="F29" s="68">
        <f>D29</f>
        <v>130718.75</v>
      </c>
      <c r="G29" s="68">
        <f>E29-D29</f>
        <v>-23546.410000000003</v>
      </c>
    </row>
    <row r="30" spans="1:7" ht="15">
      <c r="A30" s="9" t="s">
        <v>42</v>
      </c>
      <c r="B30" s="9" t="s">
        <v>170</v>
      </c>
      <c r="C30" s="182">
        <v>168.44</v>
      </c>
      <c r="D30" s="68">
        <v>255652.1</v>
      </c>
      <c r="E30" s="68">
        <v>185813.79</v>
      </c>
      <c r="F30" s="68">
        <f>D30</f>
        <v>255652.1</v>
      </c>
      <c r="G30" s="68">
        <f>E30-D30</f>
        <v>-69838.31</v>
      </c>
    </row>
    <row r="31" spans="1:7" ht="15">
      <c r="A31" s="9" t="s">
        <v>41</v>
      </c>
      <c r="B31" s="9" t="s">
        <v>43</v>
      </c>
      <c r="C31" s="182" t="s">
        <v>387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123754.34999999998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29218.610399999998</v>
      </c>
      <c r="H35" s="40"/>
      <c r="I35" s="40"/>
    </row>
    <row r="36" spans="1:9" s="15" customFormat="1" ht="15.75" thickBot="1">
      <c r="A36" s="87" t="s">
        <v>713</v>
      </c>
      <c r="B36" s="43"/>
      <c r="C36" s="43"/>
      <c r="D36" s="44"/>
      <c r="E36" s="45"/>
      <c r="F36" s="45"/>
      <c r="G36" s="38">
        <f>E24</f>
        <v>40388.96</v>
      </c>
      <c r="H36" s="40"/>
      <c r="I36" s="40"/>
    </row>
    <row r="37" spans="1:11" ht="31.5" customHeight="1">
      <c r="A37" s="267" t="s">
        <v>271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9" spans="1:12" s="18" customFormat="1" ht="37.5" customHeight="1">
      <c r="A39" s="5" t="s">
        <v>11</v>
      </c>
      <c r="B39" s="285" t="s">
        <v>45</v>
      </c>
      <c r="C39" s="286"/>
      <c r="D39" s="5" t="s">
        <v>232</v>
      </c>
      <c r="E39" s="5" t="s">
        <v>231</v>
      </c>
      <c r="F39" s="285" t="s">
        <v>46</v>
      </c>
      <c r="G39" s="286"/>
      <c r="H39" s="57"/>
      <c r="I39" s="58"/>
      <c r="L39" s="54"/>
    </row>
    <row r="40" spans="1:12" s="12" customFormat="1" ht="15" customHeight="1">
      <c r="A40" s="11" t="s">
        <v>47</v>
      </c>
      <c r="B40" s="287" t="s">
        <v>126</v>
      </c>
      <c r="C40" s="288"/>
      <c r="D40" s="157"/>
      <c r="E40" s="157"/>
      <c r="F40" s="295">
        <f>SUM(F41:G43)</f>
        <v>11170.3496</v>
      </c>
      <c r="G40" s="291"/>
      <c r="H40" s="59"/>
      <c r="I40" s="60"/>
      <c r="L40" s="55"/>
    </row>
    <row r="41" spans="1:12" ht="15">
      <c r="A41" s="9" t="s">
        <v>16</v>
      </c>
      <c r="B41" s="271" t="s">
        <v>237</v>
      </c>
      <c r="C41" s="273"/>
      <c r="D41" s="158" t="s">
        <v>238</v>
      </c>
      <c r="E41" s="158">
        <v>1</v>
      </c>
      <c r="F41" s="308">
        <v>1000</v>
      </c>
      <c r="G41" s="309"/>
      <c r="H41" s="61"/>
      <c r="I41" s="62"/>
      <c r="L41" s="56"/>
    </row>
    <row r="42" spans="1:12" ht="15">
      <c r="A42" s="9" t="s">
        <v>18</v>
      </c>
      <c r="B42" s="271" t="s">
        <v>537</v>
      </c>
      <c r="C42" s="273"/>
      <c r="D42" s="158" t="s">
        <v>538</v>
      </c>
      <c r="E42" s="158">
        <v>0.03</v>
      </c>
      <c r="F42" s="308">
        <v>9766.46</v>
      </c>
      <c r="G42" s="309"/>
      <c r="H42" s="90"/>
      <c r="I42" s="90"/>
      <c r="L42" s="56"/>
    </row>
    <row r="43" spans="1:11" s="3" customFormat="1" ht="15">
      <c r="A43" s="9" t="s">
        <v>20</v>
      </c>
      <c r="B43" s="306" t="s">
        <v>286</v>
      </c>
      <c r="C43" s="307"/>
      <c r="D43" s="199"/>
      <c r="E43" s="199"/>
      <c r="F43" s="296">
        <f>E25*1%</f>
        <v>403.8896</v>
      </c>
      <c r="G43" s="296"/>
      <c r="H43" s="25"/>
      <c r="I43" s="25"/>
      <c r="J43" s="25"/>
      <c r="K43" s="25"/>
    </row>
    <row r="44" s="25" customFormat="1" ht="9" customHeight="1"/>
    <row r="45" spans="1:11" s="25" customFormat="1" ht="1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  <c r="H45" s="3"/>
      <c r="I45" s="3"/>
      <c r="J45" s="3"/>
      <c r="K45" s="3"/>
    </row>
    <row r="46" spans="1:7" s="25" customFormat="1" ht="15">
      <c r="A46" s="3"/>
      <c r="B46" s="3"/>
      <c r="C46" s="101"/>
      <c r="D46" s="3"/>
      <c r="E46" s="3"/>
      <c r="F46" s="4" t="s">
        <v>303</v>
      </c>
      <c r="G46" s="3"/>
    </row>
    <row r="47" spans="1:10" s="25" customFormat="1" ht="15">
      <c r="A47" s="3" t="s">
        <v>50</v>
      </c>
      <c r="B47" s="3"/>
      <c r="C47" s="101"/>
      <c r="D47" s="3"/>
      <c r="E47" s="3"/>
      <c r="F47" s="3"/>
      <c r="G47" s="3"/>
      <c r="H47" s="34"/>
      <c r="I47" s="34"/>
      <c r="J47" s="34"/>
    </row>
    <row r="48" spans="1:11" ht="15">
      <c r="A48" s="3"/>
      <c r="B48" s="3"/>
      <c r="C48" s="106" t="s">
        <v>51</v>
      </c>
      <c r="D48" s="3"/>
      <c r="E48" s="14"/>
      <c r="F48" s="14"/>
      <c r="G48" s="14"/>
      <c r="H48" s="25"/>
      <c r="I48" s="25"/>
      <c r="J48" s="25"/>
      <c r="K48" s="25"/>
    </row>
    <row r="49" spans="1:1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3:C43"/>
    <mergeCell ref="F43:G43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388</v>
      </c>
      <c r="H7" s="26"/>
    </row>
    <row r="8" spans="1:8" s="25" customFormat="1" ht="12.75">
      <c r="A8" s="25" t="s">
        <v>3</v>
      </c>
      <c r="F8" s="26" t="s">
        <v>389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390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391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8.93</v>
      </c>
      <c r="D17" s="146">
        <v>220643.52</v>
      </c>
      <c r="E17" s="146">
        <v>212517.82</v>
      </c>
      <c r="F17" s="146">
        <f aca="true" t="shared" si="0" ref="F17:F24">D17</f>
        <v>220643.52</v>
      </c>
      <c r="G17" s="147">
        <f>E17-D17</f>
        <v>-8125.6999999999825</v>
      </c>
      <c r="H17" s="70">
        <f>C17</f>
        <v>8.93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79560.14942889138</v>
      </c>
      <c r="E18" s="67">
        <f>E17*I18</f>
        <v>76630.16577827549</v>
      </c>
      <c r="F18" s="67">
        <f t="shared" si="0"/>
        <v>79560.14942889138</v>
      </c>
      <c r="G18" s="68">
        <f aca="true" t="shared" si="1" ref="G18:G26">E18-D18</f>
        <v>-2929.98365061589</v>
      </c>
      <c r="H18" s="70">
        <f>C18</f>
        <v>3.22</v>
      </c>
      <c r="I18" s="32">
        <f>H18/H17</f>
        <v>0.3605823068309071</v>
      </c>
    </row>
    <row r="19" spans="1:9" s="25" customFormat="1" ht="15">
      <c r="A19" s="8" t="s">
        <v>18</v>
      </c>
      <c r="B19" s="9" t="s">
        <v>19</v>
      </c>
      <c r="C19" s="92">
        <v>1.58</v>
      </c>
      <c r="D19" s="67">
        <f>D17*I19</f>
        <v>39038.8310862262</v>
      </c>
      <c r="E19" s="67">
        <f>E17*I19</f>
        <v>37601.13724524077</v>
      </c>
      <c r="F19" s="67">
        <f t="shared" si="0"/>
        <v>39038.8310862262</v>
      </c>
      <c r="G19" s="68">
        <f t="shared" si="1"/>
        <v>-1437.6938409854338</v>
      </c>
      <c r="H19" s="70">
        <f>C19</f>
        <v>1.58</v>
      </c>
      <c r="I19" s="32">
        <f>H19/H17</f>
        <v>0.1769316909294513</v>
      </c>
    </row>
    <row r="20" spans="1:9" s="25" customFormat="1" ht="15">
      <c r="A20" s="8" t="s">
        <v>20</v>
      </c>
      <c r="B20" s="9" t="s">
        <v>21</v>
      </c>
      <c r="C20" s="92">
        <v>1.42</v>
      </c>
      <c r="D20" s="67">
        <f>D17*I20</f>
        <v>35085.53173572228</v>
      </c>
      <c r="E20" s="67">
        <f>E17*I20</f>
        <v>33793.42714445689</v>
      </c>
      <c r="F20" s="67">
        <f t="shared" si="0"/>
        <v>35085.53173572228</v>
      </c>
      <c r="G20" s="68">
        <f t="shared" si="1"/>
        <v>-1292.1045912653935</v>
      </c>
      <c r="H20" s="70">
        <f>C20</f>
        <v>1.42</v>
      </c>
      <c r="I20" s="32">
        <f>H20/H17</f>
        <v>0.15901455767077266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66959.00774916013</v>
      </c>
      <c r="E21" s="67">
        <f>E17*I21</f>
        <v>64493.08983202688</v>
      </c>
      <c r="F21" s="67">
        <f t="shared" si="0"/>
        <v>66959.00774916013</v>
      </c>
      <c r="G21" s="68">
        <f t="shared" si="1"/>
        <v>-2465.9179171332435</v>
      </c>
      <c r="H21" s="70">
        <f>C21</f>
        <v>2.71</v>
      </c>
      <c r="I21" s="32">
        <f>H21/H17</f>
        <v>0.303471444568869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30</v>
      </c>
      <c r="C24" s="176">
        <v>0</v>
      </c>
      <c r="D24" s="153">
        <v>0</v>
      </c>
      <c r="E24" s="153">
        <v>0</v>
      </c>
      <c r="F24" s="153">
        <f t="shared" si="0"/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1.74</v>
      </c>
      <c r="D25" s="153">
        <v>42992.02</v>
      </c>
      <c r="E25" s="153">
        <v>41665.62</v>
      </c>
      <c r="F25" s="153">
        <f>F39</f>
        <v>40315.716199999995</v>
      </c>
      <c r="G25" s="153">
        <f>E25-D25</f>
        <v>-1326.3999999999942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38.17</v>
      </c>
      <c r="D26" s="147">
        <v>267.56</v>
      </c>
      <c r="E26" s="147">
        <v>259.33</v>
      </c>
      <c r="F26" s="153">
        <f>D26</f>
        <v>267.56</v>
      </c>
      <c r="G26" s="147">
        <f t="shared" si="1"/>
        <v>-8.230000000000018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949568.7</v>
      </c>
      <c r="E27" s="147">
        <f>SUM(E28:E31)</f>
        <v>905062.37</v>
      </c>
      <c r="F27" s="147">
        <f>SUM(F28:F31)</f>
        <v>949568.7</v>
      </c>
      <c r="G27" s="147">
        <f>SUM(G28:G31)</f>
        <v>-44506.33000000004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 t="s">
        <v>315</v>
      </c>
      <c r="D28" s="68">
        <v>28589.75</v>
      </c>
      <c r="E28" s="68">
        <v>27687.4</v>
      </c>
      <c r="F28" s="68">
        <f>D28</f>
        <v>28589.75</v>
      </c>
      <c r="G28" s="68">
        <f>E28-D28</f>
        <v>-902.3499999999985</v>
      </c>
    </row>
    <row r="29" spans="1:7" ht="15">
      <c r="A29" s="9" t="s">
        <v>39</v>
      </c>
      <c r="B29" s="9" t="s">
        <v>168</v>
      </c>
      <c r="C29" s="134" t="s">
        <v>314</v>
      </c>
      <c r="D29" s="68">
        <v>348229.92</v>
      </c>
      <c r="E29" s="68">
        <v>347645.89</v>
      </c>
      <c r="F29" s="68">
        <f>D29</f>
        <v>348229.92</v>
      </c>
      <c r="G29" s="68">
        <f>E29-D29</f>
        <v>-584.0299999999697</v>
      </c>
    </row>
    <row r="30" spans="1:7" ht="15">
      <c r="A30" s="9" t="s">
        <v>42</v>
      </c>
      <c r="B30" s="9" t="s">
        <v>170</v>
      </c>
      <c r="C30" s="182">
        <v>0</v>
      </c>
      <c r="D30" s="222">
        <v>0</v>
      </c>
      <c r="E30" s="222">
        <v>0</v>
      </c>
      <c r="F30" s="68">
        <f>D30</f>
        <v>0</v>
      </c>
      <c r="G30" s="68">
        <f>E30-D30</f>
        <v>0</v>
      </c>
    </row>
    <row r="31" spans="1:7" ht="15">
      <c r="A31" s="9" t="s">
        <v>41</v>
      </c>
      <c r="B31" s="9" t="s">
        <v>43</v>
      </c>
      <c r="C31" s="182" t="s">
        <v>387</v>
      </c>
      <c r="D31" s="68">
        <v>572749.03</v>
      </c>
      <c r="E31" s="68">
        <v>529729.08</v>
      </c>
      <c r="F31" s="68">
        <f>D31</f>
        <v>572749.03</v>
      </c>
      <c r="G31" s="68">
        <f>E31-D31</f>
        <v>-43019.95000000007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53966.6599999998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1349.9038000000073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SUM(F40:G45)</f>
        <v>40315.716199999995</v>
      </c>
      <c r="G39" s="291"/>
      <c r="H39" s="59"/>
      <c r="I39" s="60"/>
      <c r="L39" s="55"/>
    </row>
    <row r="40" spans="1:12" ht="15">
      <c r="A40" s="9" t="s">
        <v>16</v>
      </c>
      <c r="B40" s="271" t="s">
        <v>548</v>
      </c>
      <c r="C40" s="273"/>
      <c r="D40" s="158" t="s">
        <v>410</v>
      </c>
      <c r="E40" s="158">
        <v>0.02</v>
      </c>
      <c r="F40" s="308">
        <v>1051.4</v>
      </c>
      <c r="G40" s="309"/>
      <c r="H40" s="61"/>
      <c r="I40" s="62"/>
      <c r="L40" s="56"/>
    </row>
    <row r="41" spans="1:12" ht="15">
      <c r="A41" s="9" t="s">
        <v>18</v>
      </c>
      <c r="B41" s="271" t="s">
        <v>547</v>
      </c>
      <c r="C41" s="273"/>
      <c r="D41" s="158" t="s">
        <v>410</v>
      </c>
      <c r="E41" s="158">
        <v>0.02</v>
      </c>
      <c r="F41" s="308">
        <v>12640.6</v>
      </c>
      <c r="G41" s="309"/>
      <c r="H41" s="90"/>
      <c r="I41" s="90"/>
      <c r="L41" s="56"/>
    </row>
    <row r="42" spans="1:12" ht="15">
      <c r="A42" s="9" t="s">
        <v>20</v>
      </c>
      <c r="B42" s="271" t="s">
        <v>549</v>
      </c>
      <c r="C42" s="273"/>
      <c r="D42" s="158" t="s">
        <v>416</v>
      </c>
      <c r="E42" s="158">
        <v>0.02</v>
      </c>
      <c r="F42" s="308">
        <v>8207.06</v>
      </c>
      <c r="G42" s="309"/>
      <c r="H42" s="90"/>
      <c r="I42" s="90"/>
      <c r="L42" s="56"/>
    </row>
    <row r="43" spans="1:12" ht="15">
      <c r="A43" s="9" t="s">
        <v>22</v>
      </c>
      <c r="B43" s="271" t="s">
        <v>550</v>
      </c>
      <c r="C43" s="273"/>
      <c r="D43" s="158" t="s">
        <v>238</v>
      </c>
      <c r="E43" s="158">
        <v>8</v>
      </c>
      <c r="F43" s="308">
        <v>8000</v>
      </c>
      <c r="G43" s="309"/>
      <c r="H43" s="90"/>
      <c r="I43" s="90"/>
      <c r="L43" s="56"/>
    </row>
    <row r="44" spans="1:12" ht="15">
      <c r="A44" s="9" t="s">
        <v>24</v>
      </c>
      <c r="B44" s="271" t="s">
        <v>551</v>
      </c>
      <c r="C44" s="273"/>
      <c r="D44" s="158"/>
      <c r="E44" s="158"/>
      <c r="F44" s="308">
        <v>10000</v>
      </c>
      <c r="G44" s="309"/>
      <c r="H44" s="90"/>
      <c r="I44" s="90"/>
      <c r="L44" s="56"/>
    </row>
    <row r="45" spans="1:11" s="3" customFormat="1" ht="15">
      <c r="A45" s="9" t="s">
        <v>116</v>
      </c>
      <c r="B45" s="306" t="s">
        <v>286</v>
      </c>
      <c r="C45" s="307"/>
      <c r="D45" s="199"/>
      <c r="E45" s="199"/>
      <c r="F45" s="296">
        <f>E25*1%</f>
        <v>416.6562</v>
      </c>
      <c r="G45" s="296"/>
      <c r="H45" s="25"/>
      <c r="I45" s="25"/>
      <c r="J45" s="25"/>
      <c r="K45" s="25"/>
    </row>
    <row r="46" s="25" customFormat="1" ht="9" customHeight="1"/>
    <row r="47" spans="1:11" s="25" customFormat="1" ht="15">
      <c r="A47" s="3" t="s">
        <v>55</v>
      </c>
      <c r="B47" s="3"/>
      <c r="C47" s="101" t="s">
        <v>49</v>
      </c>
      <c r="D47" s="3"/>
      <c r="E47" s="3"/>
      <c r="F47" s="3" t="s">
        <v>102</v>
      </c>
      <c r="G47" s="3"/>
      <c r="H47" s="3"/>
      <c r="I47" s="3"/>
      <c r="J47" s="3"/>
      <c r="K47" s="3"/>
    </row>
    <row r="48" spans="1:7" s="25" customFormat="1" ht="15">
      <c r="A48" s="3"/>
      <c r="B48" s="3"/>
      <c r="C48" s="101"/>
      <c r="D48" s="3"/>
      <c r="E48" s="3"/>
      <c r="F48" s="4" t="s">
        <v>303</v>
      </c>
      <c r="G48" s="3"/>
    </row>
    <row r="49" spans="1:10" s="25" customFormat="1" ht="15">
      <c r="A49" s="3" t="s">
        <v>50</v>
      </c>
      <c r="B49" s="3"/>
      <c r="C49" s="101"/>
      <c r="D49" s="3"/>
      <c r="E49" s="3"/>
      <c r="F49" s="3"/>
      <c r="G49" s="3"/>
      <c r="H49" s="34"/>
      <c r="I49" s="34"/>
      <c r="J49" s="34"/>
    </row>
    <row r="50" spans="1:11" ht="15">
      <c r="A50" s="3"/>
      <c r="B50" s="3"/>
      <c r="C50" s="106" t="s">
        <v>51</v>
      </c>
      <c r="D50" s="3"/>
      <c r="E50" s="14"/>
      <c r="F50" s="14"/>
      <c r="G50" s="14"/>
      <c r="H50" s="25"/>
      <c r="I50" s="25"/>
      <c r="J50" s="25"/>
      <c r="K50" s="25"/>
    </row>
    <row r="51" spans="1:1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</sheetData>
  <sheetProtection/>
  <mergeCells count="26">
    <mergeCell ref="B43:C43"/>
    <mergeCell ref="F43:G43"/>
    <mergeCell ref="B44:C44"/>
    <mergeCell ref="F44:G44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5:C45"/>
    <mergeCell ref="F45:G45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402</v>
      </c>
      <c r="H7" s="26"/>
    </row>
    <row r="8" spans="1:8" s="25" customFormat="1" ht="12.75">
      <c r="A8" s="25" t="s">
        <v>3</v>
      </c>
      <c r="F8" s="26" t="s">
        <v>403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404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405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9.35</v>
      </c>
      <c r="D17" s="146">
        <v>121757.08</v>
      </c>
      <c r="E17" s="146">
        <v>102518.05</v>
      </c>
      <c r="F17" s="146">
        <f aca="true" t="shared" si="0" ref="F17:F23">D17</f>
        <v>121757.08</v>
      </c>
      <c r="G17" s="147">
        <f>E17-D17</f>
        <v>-19239.03</v>
      </c>
      <c r="H17" s="70">
        <f>C17</f>
        <v>9.35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41931.315251336906</v>
      </c>
      <c r="E18" s="67">
        <f>E17*I18</f>
        <v>35305.68139037434</v>
      </c>
      <c r="F18" s="67">
        <f t="shared" si="0"/>
        <v>41931.315251336906</v>
      </c>
      <c r="G18" s="68">
        <f aca="true" t="shared" si="1" ref="G18:G26">E18-D18</f>
        <v>-6625.633860962567</v>
      </c>
      <c r="H18" s="70">
        <f>C18</f>
        <v>3.22</v>
      </c>
      <c r="I18" s="32">
        <f>H18/H17</f>
        <v>0.34438502673796795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19923.885818181818</v>
      </c>
      <c r="E19" s="67">
        <f>E17*I19</f>
        <v>16775.68090909091</v>
      </c>
      <c r="F19" s="67">
        <f t="shared" si="0"/>
        <v>19923.885818181818</v>
      </c>
      <c r="G19" s="68">
        <f t="shared" si="1"/>
        <v>-3148.2049090909095</v>
      </c>
      <c r="H19" s="70">
        <f>C19</f>
        <v>1.53</v>
      </c>
      <c r="I19" s="32">
        <f>H19/H17</f>
        <v>0.16363636363636364</v>
      </c>
    </row>
    <row r="20" spans="1:9" s="25" customFormat="1" ht="15">
      <c r="A20" s="8" t="s">
        <v>20</v>
      </c>
      <c r="B20" s="9" t="s">
        <v>21</v>
      </c>
      <c r="C20" s="92">
        <v>1.89</v>
      </c>
      <c r="D20" s="67">
        <f>D17*I20</f>
        <v>24611.858951871658</v>
      </c>
      <c r="E20" s="67">
        <f>E17*I20</f>
        <v>20722.899946524067</v>
      </c>
      <c r="F20" s="67">
        <f t="shared" si="0"/>
        <v>24611.858951871658</v>
      </c>
      <c r="G20" s="68">
        <f t="shared" si="1"/>
        <v>-3888.9590053475913</v>
      </c>
      <c r="H20" s="70">
        <f>C20</f>
        <v>1.89</v>
      </c>
      <c r="I20" s="32">
        <f>H20/H17</f>
        <v>0.2021390374331551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35290.01997860963</v>
      </c>
      <c r="E21" s="67">
        <f>E17*I21</f>
        <v>29713.787754010697</v>
      </c>
      <c r="F21" s="67">
        <f t="shared" si="0"/>
        <v>35290.01997860963</v>
      </c>
      <c r="G21" s="68">
        <f t="shared" si="1"/>
        <v>-5576.232224598931</v>
      </c>
      <c r="H21" s="70">
        <f>C21</f>
        <v>2.71</v>
      </c>
      <c r="I21" s="32">
        <f>H21/H17</f>
        <v>0.2898395721925134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26</v>
      </c>
      <c r="C24" s="176">
        <v>3.58</v>
      </c>
      <c r="D24" s="153">
        <v>46619</v>
      </c>
      <c r="E24" s="153">
        <v>39252.85</v>
      </c>
      <c r="F24" s="153">
        <v>0</v>
      </c>
      <c r="G24" s="153">
        <f t="shared" si="1"/>
        <v>-7366.1500000000015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1.92</v>
      </c>
      <c r="D25" s="153">
        <v>25002.45</v>
      </c>
      <c r="E25" s="153">
        <v>21051.72</v>
      </c>
      <c r="F25" s="153">
        <f>F39</f>
        <v>6183.9472000000005</v>
      </c>
      <c r="G25" s="153">
        <f>E25-D25</f>
        <v>-3950.7299999999996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38.17</v>
      </c>
      <c r="D26" s="147">
        <v>76.14</v>
      </c>
      <c r="E26" s="147">
        <v>64.1</v>
      </c>
      <c r="F26" s="153">
        <f>D26</f>
        <v>76.14</v>
      </c>
      <c r="G26" s="147">
        <f t="shared" si="1"/>
        <v>-12.040000000000006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976059.05</v>
      </c>
      <c r="E27" s="147">
        <f>SUM(E28:E31)</f>
        <v>810824.72</v>
      </c>
      <c r="F27" s="147">
        <f>SUM(F28:F31)</f>
        <v>976059.05</v>
      </c>
      <c r="G27" s="147">
        <f>SUM(G28:G31)</f>
        <v>-165234.32999999996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>
        <v>4.82</v>
      </c>
      <c r="D28" s="68">
        <v>231566.54</v>
      </c>
      <c r="E28" s="68">
        <v>181468.84</v>
      </c>
      <c r="F28" s="68">
        <f>D28</f>
        <v>231566.54</v>
      </c>
      <c r="G28" s="68">
        <f>E28-D28</f>
        <v>-50097.70000000001</v>
      </c>
    </row>
    <row r="29" spans="1:7" ht="15">
      <c r="A29" s="9" t="s">
        <v>39</v>
      </c>
      <c r="B29" s="9" t="s">
        <v>168</v>
      </c>
      <c r="C29" s="134" t="s">
        <v>398</v>
      </c>
      <c r="D29" s="68">
        <v>86784.44</v>
      </c>
      <c r="E29" s="68">
        <v>75569.15</v>
      </c>
      <c r="F29" s="68">
        <f>D29</f>
        <v>86784.44</v>
      </c>
      <c r="G29" s="68">
        <f>E29-D29</f>
        <v>-11215.290000000008</v>
      </c>
    </row>
    <row r="30" spans="1:7" ht="15">
      <c r="A30" s="9" t="s">
        <v>42</v>
      </c>
      <c r="B30" s="9" t="s">
        <v>170</v>
      </c>
      <c r="C30" s="182">
        <v>168.44</v>
      </c>
      <c r="D30" s="68">
        <v>10913.46</v>
      </c>
      <c r="E30" s="68">
        <v>9191.31</v>
      </c>
      <c r="F30" s="68">
        <f>D30</f>
        <v>10913.46</v>
      </c>
      <c r="G30" s="68">
        <f>E30-D30</f>
        <v>-1722.1499999999996</v>
      </c>
    </row>
    <row r="31" spans="1:7" ht="15">
      <c r="A31" s="9" t="s">
        <v>41</v>
      </c>
      <c r="B31" s="9" t="s">
        <v>43</v>
      </c>
      <c r="C31" s="182" t="s">
        <v>387</v>
      </c>
      <c r="D31" s="68">
        <v>646794.61</v>
      </c>
      <c r="E31" s="68">
        <v>544595.42</v>
      </c>
      <c r="F31" s="68">
        <f>D31</f>
        <v>646794.61</v>
      </c>
      <c r="G31" s="68">
        <f>E31-D31</f>
        <v>-102199.18999999994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195802.28000000026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14867.7728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SUM(F40:G41)</f>
        <v>6183.9472000000005</v>
      </c>
      <c r="G39" s="291"/>
      <c r="H39" s="59"/>
      <c r="I39" s="60"/>
      <c r="L39" s="55"/>
    </row>
    <row r="40" spans="1:12" ht="15">
      <c r="A40" s="9" t="s">
        <v>16</v>
      </c>
      <c r="B40" s="271" t="s">
        <v>493</v>
      </c>
      <c r="C40" s="273"/>
      <c r="D40" s="158" t="s">
        <v>416</v>
      </c>
      <c r="E40" s="158">
        <v>0.07</v>
      </c>
      <c r="F40" s="308">
        <v>5973.43</v>
      </c>
      <c r="G40" s="309"/>
      <c r="H40" s="61"/>
      <c r="I40" s="62"/>
      <c r="L40" s="56"/>
    </row>
    <row r="41" spans="1:11" s="3" customFormat="1" ht="15">
      <c r="A41" s="9" t="s">
        <v>18</v>
      </c>
      <c r="B41" s="306" t="s">
        <v>286</v>
      </c>
      <c r="C41" s="307"/>
      <c r="D41" s="199"/>
      <c r="E41" s="199"/>
      <c r="F41" s="296">
        <f>E25*1%</f>
        <v>210.5172</v>
      </c>
      <c r="G41" s="296"/>
      <c r="H41" s="25"/>
      <c r="I41" s="25"/>
      <c r="J41" s="25"/>
      <c r="K41" s="25"/>
    </row>
    <row r="42" s="25" customFormat="1" ht="9" customHeight="1"/>
    <row r="43" spans="1:11" s="25" customFormat="1" ht="15">
      <c r="A43" s="3" t="s">
        <v>55</v>
      </c>
      <c r="B43" s="3"/>
      <c r="C43" s="101" t="s">
        <v>49</v>
      </c>
      <c r="D43" s="3"/>
      <c r="E43" s="3"/>
      <c r="F43" s="3" t="s">
        <v>102</v>
      </c>
      <c r="G43" s="3"/>
      <c r="H43" s="3"/>
      <c r="I43" s="3"/>
      <c r="J43" s="3"/>
      <c r="K43" s="3"/>
    </row>
    <row r="44" spans="1:7" s="25" customFormat="1" ht="15">
      <c r="A44" s="3"/>
      <c r="B44" s="3"/>
      <c r="C44" s="101"/>
      <c r="D44" s="3"/>
      <c r="E44" s="3"/>
      <c r="F44" s="4" t="s">
        <v>303</v>
      </c>
      <c r="G44" s="3"/>
    </row>
    <row r="45" spans="1:10" s="25" customFormat="1" ht="1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1" ht="15">
      <c r="A46" s="3"/>
      <c r="B46" s="3"/>
      <c r="C46" s="106" t="s">
        <v>51</v>
      </c>
      <c r="D46" s="3"/>
      <c r="E46" s="14"/>
      <c r="F46" s="14"/>
      <c r="G46" s="14"/>
      <c r="H46" s="25"/>
      <c r="I46" s="25"/>
      <c r="J46" s="25"/>
      <c r="K46" s="25"/>
    </row>
    <row r="47" spans="1:1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E15" sqref="E15"/>
    </sheetView>
  </sheetViews>
  <sheetFormatPr defaultColWidth="9.140625" defaultRowHeight="15" outlineLevelCol="1"/>
  <cols>
    <col min="1" max="1" width="6.00390625" style="23" customWidth="1"/>
    <col min="2" max="2" width="48.140625" style="23" customWidth="1"/>
    <col min="3" max="3" width="14.00390625" style="23" customWidth="1"/>
    <col min="4" max="4" width="14.8515625" style="23" customWidth="1"/>
    <col min="5" max="6" width="13.2812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customWidth="1" collapsed="1"/>
    <col min="12" max="12" width="9.140625" style="23" customWidth="1"/>
    <col min="13" max="13" width="10.00390625" style="23" bestFit="1" customWidth="1"/>
    <col min="14" max="14" width="15.8515625" style="23" customWidth="1"/>
    <col min="15" max="16384" width="9.140625" style="23" customWidth="1"/>
  </cols>
  <sheetData>
    <row r="1" spans="1:11" ht="12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>
      <c r="A3" s="274" t="s">
        <v>242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267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7" spans="1:8" s="25" customFormat="1" ht="16.5" customHeight="1">
      <c r="A7" s="25" t="s">
        <v>2</v>
      </c>
      <c r="F7" s="26" t="s">
        <v>406</v>
      </c>
      <c r="H7" s="26"/>
    </row>
    <row r="8" spans="1:8" s="25" customFormat="1" ht="12.75">
      <c r="A8" s="25" t="s">
        <v>3</v>
      </c>
      <c r="F8" s="26" t="s">
        <v>407</v>
      </c>
      <c r="H8" s="26"/>
    </row>
    <row r="9" spans="1:11" s="25" customFormat="1" ht="12.7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s="25" customFormat="1" ht="12.75">
      <c r="A10" s="264" t="s">
        <v>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25" customFormat="1" ht="13.5" thickBot="1">
      <c r="A11" s="264" t="s">
        <v>10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9" s="15" customFormat="1" ht="16.5" customHeight="1" thickBot="1">
      <c r="A12" s="265" t="s">
        <v>404</v>
      </c>
      <c r="B12" s="266"/>
      <c r="C12" s="266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87" t="s">
        <v>405</v>
      </c>
      <c r="B14" s="43"/>
      <c r="C14" s="43"/>
      <c r="D14" s="44"/>
      <c r="E14" s="45"/>
      <c r="F14" s="45"/>
      <c r="G14" s="73">
        <v>0</v>
      </c>
      <c r="H14" s="40"/>
      <c r="I14" s="40"/>
    </row>
    <row r="15" s="25" customFormat="1" ht="6.75" customHeight="1"/>
    <row r="16" spans="1:7" s="18" customFormat="1" ht="38.25">
      <c r="A16" s="6" t="s">
        <v>11</v>
      </c>
      <c r="B16" s="6" t="s">
        <v>12</v>
      </c>
      <c r="C16" s="6" t="s">
        <v>103</v>
      </c>
      <c r="D16" s="6" t="s">
        <v>295</v>
      </c>
      <c r="E16" s="6" t="s">
        <v>296</v>
      </c>
      <c r="F16" s="17" t="s">
        <v>297</v>
      </c>
      <c r="G16" s="6" t="s">
        <v>298</v>
      </c>
    </row>
    <row r="17" spans="1:14" s="25" customFormat="1" ht="14.25">
      <c r="A17" s="163" t="s">
        <v>14</v>
      </c>
      <c r="B17" s="129" t="s">
        <v>15</v>
      </c>
      <c r="C17" s="175">
        <f>C18+C19+C20+C21</f>
        <v>9.21</v>
      </c>
      <c r="D17" s="146">
        <v>65496.14</v>
      </c>
      <c r="E17" s="146">
        <v>43435.28</v>
      </c>
      <c r="F17" s="146">
        <f aca="true" t="shared" si="0" ref="F17:F23">D17</f>
        <v>65496.14</v>
      </c>
      <c r="G17" s="147">
        <f>E17-D17</f>
        <v>-22060.86</v>
      </c>
      <c r="H17" s="70">
        <f>C17</f>
        <v>9.21</v>
      </c>
      <c r="I17" s="149"/>
      <c r="J17" s="149"/>
      <c r="K17" s="149"/>
      <c r="M17" s="70"/>
      <c r="N17" s="63"/>
    </row>
    <row r="18" spans="1:9" s="25" customFormat="1" ht="15">
      <c r="A18" s="8" t="s">
        <v>16</v>
      </c>
      <c r="B18" s="9" t="s">
        <v>17</v>
      </c>
      <c r="C18" s="92">
        <v>3.22</v>
      </c>
      <c r="D18" s="67">
        <f>D17*I18</f>
        <v>22898.759044516828</v>
      </c>
      <c r="E18" s="67">
        <f>E17*I18</f>
        <v>15185.84165038002</v>
      </c>
      <c r="F18" s="67">
        <f t="shared" si="0"/>
        <v>22898.759044516828</v>
      </c>
      <c r="G18" s="68">
        <f aca="true" t="shared" si="1" ref="G18:G26">E18-D18</f>
        <v>-7712.917394136808</v>
      </c>
      <c r="H18" s="70">
        <f>C18</f>
        <v>3.22</v>
      </c>
      <c r="I18" s="32">
        <f>H18/H17</f>
        <v>0.3496199782844734</v>
      </c>
    </row>
    <row r="19" spans="1:9" s="25" customFormat="1" ht="15">
      <c r="A19" s="8" t="s">
        <v>18</v>
      </c>
      <c r="B19" s="9" t="s">
        <v>19</v>
      </c>
      <c r="C19" s="92">
        <v>1.53</v>
      </c>
      <c r="D19" s="67">
        <f>D17*I19</f>
        <v>10880.46625407166</v>
      </c>
      <c r="E19" s="67">
        <f>E17*I19</f>
        <v>7215.6328338762205</v>
      </c>
      <c r="F19" s="67">
        <f t="shared" si="0"/>
        <v>10880.46625407166</v>
      </c>
      <c r="G19" s="68">
        <f t="shared" si="1"/>
        <v>-3664.8334201954394</v>
      </c>
      <c r="H19" s="70">
        <f>C19</f>
        <v>1.53</v>
      </c>
      <c r="I19" s="32">
        <f>H19/H17</f>
        <v>0.16612377850162866</v>
      </c>
    </row>
    <row r="20" spans="1:9" s="25" customFormat="1" ht="15">
      <c r="A20" s="8" t="s">
        <v>20</v>
      </c>
      <c r="B20" s="9" t="s">
        <v>21</v>
      </c>
      <c r="C20" s="92">
        <f>1.89-0.14</f>
        <v>1.75</v>
      </c>
      <c r="D20" s="67">
        <f>D17*I20</f>
        <v>12444.977741585231</v>
      </c>
      <c r="E20" s="67">
        <f>E17*I20</f>
        <v>8253.174809989141</v>
      </c>
      <c r="F20" s="67">
        <f t="shared" si="0"/>
        <v>12444.977741585231</v>
      </c>
      <c r="G20" s="68">
        <f t="shared" si="1"/>
        <v>-4191.80293159609</v>
      </c>
      <c r="H20" s="70">
        <f>C20</f>
        <v>1.75</v>
      </c>
      <c r="I20" s="32">
        <f>H20/H17</f>
        <v>0.19001085776330073</v>
      </c>
    </row>
    <row r="21" spans="1:9" s="25" customFormat="1" ht="15">
      <c r="A21" s="8" t="s">
        <v>22</v>
      </c>
      <c r="B21" s="9" t="s">
        <v>23</v>
      </c>
      <c r="C21" s="92">
        <v>2.71</v>
      </c>
      <c r="D21" s="67">
        <f>D17*I21</f>
        <v>19271.936959826275</v>
      </c>
      <c r="E21" s="67">
        <f>E17*I21</f>
        <v>12780.630705754613</v>
      </c>
      <c r="F21" s="67">
        <f t="shared" si="0"/>
        <v>19271.936959826275</v>
      </c>
      <c r="G21" s="68">
        <f t="shared" si="1"/>
        <v>-6491.306254071662</v>
      </c>
      <c r="H21" s="70">
        <f>C21</f>
        <v>2.71</v>
      </c>
      <c r="I21" s="32">
        <f>H21/H17</f>
        <v>0.29424538545059714</v>
      </c>
    </row>
    <row r="22" spans="1:11" s="72" customFormat="1" ht="14.25">
      <c r="A22" s="191" t="s">
        <v>25</v>
      </c>
      <c r="B22" s="191" t="s">
        <v>386</v>
      </c>
      <c r="C22" s="176">
        <v>0</v>
      </c>
      <c r="D22" s="153">
        <v>0</v>
      </c>
      <c r="E22" s="153">
        <v>0</v>
      </c>
      <c r="F22" s="153">
        <v>0</v>
      </c>
      <c r="G22" s="153">
        <f t="shared" si="1"/>
        <v>0</v>
      </c>
      <c r="H22" s="154"/>
      <c r="I22" s="154"/>
      <c r="J22" s="154"/>
      <c r="K22" s="154"/>
    </row>
    <row r="23" spans="1:11" s="72" customFormat="1" ht="14.25">
      <c r="A23" s="191" t="s">
        <v>27</v>
      </c>
      <c r="B23" s="191" t="s">
        <v>329</v>
      </c>
      <c r="C23" s="176">
        <v>0</v>
      </c>
      <c r="D23" s="153">
        <v>0</v>
      </c>
      <c r="E23" s="153">
        <v>0</v>
      </c>
      <c r="F23" s="153">
        <f t="shared" si="0"/>
        <v>0</v>
      </c>
      <c r="G23" s="153">
        <f t="shared" si="1"/>
        <v>0</v>
      </c>
      <c r="H23" s="154"/>
      <c r="I23" s="154"/>
      <c r="J23" s="154"/>
      <c r="K23" s="154"/>
    </row>
    <row r="24" spans="1:11" s="72" customFormat="1" ht="14.25">
      <c r="A24" s="191" t="s">
        <v>29</v>
      </c>
      <c r="B24" s="191" t="s">
        <v>26</v>
      </c>
      <c r="C24" s="176">
        <v>0</v>
      </c>
      <c r="D24" s="153">
        <v>0</v>
      </c>
      <c r="E24" s="153">
        <v>0</v>
      </c>
      <c r="F24" s="153">
        <v>0</v>
      </c>
      <c r="G24" s="153">
        <f t="shared" si="1"/>
        <v>0</v>
      </c>
      <c r="H24" s="154"/>
      <c r="I24" s="154"/>
      <c r="J24" s="154"/>
      <c r="K24" s="154"/>
    </row>
    <row r="25" spans="1:11" s="72" customFormat="1" ht="14.25">
      <c r="A25" s="191" t="s">
        <v>31</v>
      </c>
      <c r="B25" s="191" t="s">
        <v>131</v>
      </c>
      <c r="C25" s="206">
        <v>3.3</v>
      </c>
      <c r="D25" s="153">
        <v>23467.62</v>
      </c>
      <c r="E25" s="153">
        <v>15563.07</v>
      </c>
      <c r="F25" s="153">
        <f>F39</f>
        <v>29533.4307</v>
      </c>
      <c r="G25" s="153">
        <f>E25-D25</f>
        <v>-7904.549999999999</v>
      </c>
      <c r="H25" s="154"/>
      <c r="I25" s="154"/>
      <c r="J25" s="154"/>
      <c r="K25" s="154"/>
    </row>
    <row r="26" spans="1:11" ht="14.25">
      <c r="A26" s="129" t="s">
        <v>33</v>
      </c>
      <c r="B26" s="129" t="s">
        <v>230</v>
      </c>
      <c r="C26" s="175">
        <v>0</v>
      </c>
      <c r="D26" s="147">
        <v>0</v>
      </c>
      <c r="E26" s="147">
        <v>0</v>
      </c>
      <c r="F26" s="153">
        <f>D26</f>
        <v>0</v>
      </c>
      <c r="G26" s="147">
        <f t="shared" si="1"/>
        <v>0</v>
      </c>
      <c r="H26" s="37"/>
      <c r="I26" s="37"/>
      <c r="J26" s="37"/>
      <c r="K26" s="37"/>
    </row>
    <row r="27" spans="1:11" ht="14.25">
      <c r="A27" s="129" t="s">
        <v>35</v>
      </c>
      <c r="B27" s="129" t="s">
        <v>36</v>
      </c>
      <c r="C27" s="175"/>
      <c r="D27" s="147">
        <f>SUM(D28:D31)</f>
        <v>321375.95999999996</v>
      </c>
      <c r="E27" s="147">
        <f>SUM(E28:E31)</f>
        <v>101603.25</v>
      </c>
      <c r="F27" s="147">
        <f>SUM(F28:F31)</f>
        <v>321375.95999999996</v>
      </c>
      <c r="G27" s="147">
        <f>SUM(G28:G31)</f>
        <v>-219772.71000000002</v>
      </c>
      <c r="H27" s="37"/>
      <c r="I27" s="37"/>
      <c r="J27" s="37"/>
      <c r="K27" s="37"/>
    </row>
    <row r="28" spans="1:7" ht="15">
      <c r="A28" s="9" t="s">
        <v>37</v>
      </c>
      <c r="B28" s="9" t="s">
        <v>235</v>
      </c>
      <c r="C28" s="134">
        <v>3.37</v>
      </c>
      <c r="D28" s="68">
        <v>2550.08</v>
      </c>
      <c r="E28" s="68">
        <v>1691.09</v>
      </c>
      <c r="F28" s="68">
        <f>D28</f>
        <v>2550.08</v>
      </c>
      <c r="G28" s="68">
        <f>E28-D28</f>
        <v>-858.99</v>
      </c>
    </row>
    <row r="29" spans="1:7" ht="15">
      <c r="A29" s="9" t="s">
        <v>39</v>
      </c>
      <c r="B29" s="9" t="s">
        <v>168</v>
      </c>
      <c r="C29" s="134" t="s">
        <v>398</v>
      </c>
      <c r="D29" s="68">
        <v>169374.49</v>
      </c>
      <c r="E29" s="68">
        <v>98324.32</v>
      </c>
      <c r="F29" s="68">
        <f>D29</f>
        <v>169374.49</v>
      </c>
      <c r="G29" s="68">
        <f>E29-D29</f>
        <v>-71050.16999999998</v>
      </c>
    </row>
    <row r="30" spans="1:7" ht="15">
      <c r="A30" s="9" t="s">
        <v>42</v>
      </c>
      <c r="B30" s="9" t="s">
        <v>170</v>
      </c>
      <c r="C30" s="182">
        <v>168.44</v>
      </c>
      <c r="D30" s="68">
        <v>149451.39</v>
      </c>
      <c r="E30" s="68">
        <v>1587.84</v>
      </c>
      <c r="F30" s="68">
        <f>D30</f>
        <v>149451.39</v>
      </c>
      <c r="G30" s="68">
        <f>E30-D30</f>
        <v>-147863.55000000002</v>
      </c>
    </row>
    <row r="31" spans="1:7" s="229" customFormat="1" ht="15">
      <c r="A31" s="228" t="s">
        <v>41</v>
      </c>
      <c r="B31" s="228" t="s">
        <v>43</v>
      </c>
      <c r="C31" s="182">
        <v>0</v>
      </c>
      <c r="D31" s="222">
        <v>0</v>
      </c>
      <c r="E31" s="222">
        <v>0</v>
      </c>
      <c r="F31" s="222">
        <f>D31</f>
        <v>0</v>
      </c>
      <c r="G31" s="222">
        <f>E31-D31</f>
        <v>0</v>
      </c>
    </row>
    <row r="32" spans="1:9" s="20" customFormat="1" ht="7.5" customHeight="1" thickBot="1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>
      <c r="A33" s="265" t="s">
        <v>299</v>
      </c>
      <c r="B33" s="266"/>
      <c r="C33" s="266"/>
      <c r="D33" s="73">
        <f>D12+D17+D22+D23+D24+D25+D26+D27-E17-E22-E23-E24-E25-E26-E27</f>
        <v>249738.11999999994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87" t="s">
        <v>301</v>
      </c>
      <c r="B35" s="43"/>
      <c r="C35" s="43"/>
      <c r="D35" s="44"/>
      <c r="E35" s="45"/>
      <c r="F35" s="45"/>
      <c r="G35" s="38">
        <f>G14+E25-F25</f>
        <v>-13970.360700000001</v>
      </c>
      <c r="H35" s="40"/>
      <c r="I35" s="40"/>
    </row>
    <row r="36" spans="1:11" ht="31.5" customHeight="1">
      <c r="A36" s="267" t="s">
        <v>271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8" spans="1:12" s="18" customFormat="1" ht="37.5" customHeight="1">
      <c r="A38" s="5" t="s">
        <v>11</v>
      </c>
      <c r="B38" s="285" t="s">
        <v>45</v>
      </c>
      <c r="C38" s="286"/>
      <c r="D38" s="5" t="s">
        <v>232</v>
      </c>
      <c r="E38" s="5" t="s">
        <v>231</v>
      </c>
      <c r="F38" s="285" t="s">
        <v>46</v>
      </c>
      <c r="G38" s="286"/>
      <c r="H38" s="57"/>
      <c r="I38" s="58"/>
      <c r="L38" s="54"/>
    </row>
    <row r="39" spans="1:12" s="12" customFormat="1" ht="15" customHeight="1">
      <c r="A39" s="11" t="s">
        <v>47</v>
      </c>
      <c r="B39" s="287" t="s">
        <v>126</v>
      </c>
      <c r="C39" s="288"/>
      <c r="D39" s="157"/>
      <c r="E39" s="157"/>
      <c r="F39" s="295">
        <f>SUM(F40:G42)</f>
        <v>29533.4307</v>
      </c>
      <c r="G39" s="291"/>
      <c r="H39" s="59"/>
      <c r="I39" s="60"/>
      <c r="L39" s="55"/>
    </row>
    <row r="40" spans="1:12" ht="15">
      <c r="A40" s="9" t="s">
        <v>16</v>
      </c>
      <c r="B40" s="271" t="s">
        <v>451</v>
      </c>
      <c r="C40" s="273"/>
      <c r="D40" s="158" t="s">
        <v>452</v>
      </c>
      <c r="E40" s="158">
        <v>0.18</v>
      </c>
      <c r="F40" s="308">
        <v>19377.8</v>
      </c>
      <c r="G40" s="309"/>
      <c r="H40" s="61"/>
      <c r="I40" s="62"/>
      <c r="L40" s="56"/>
    </row>
    <row r="41" spans="1:12" ht="15">
      <c r="A41" s="9" t="s">
        <v>18</v>
      </c>
      <c r="B41" s="271" t="s">
        <v>718</v>
      </c>
      <c r="C41" s="273"/>
      <c r="D41" s="158"/>
      <c r="E41" s="158"/>
      <c r="F41" s="308">
        <v>10000</v>
      </c>
      <c r="G41" s="309"/>
      <c r="H41" s="90"/>
      <c r="I41" s="90"/>
      <c r="L41" s="56"/>
    </row>
    <row r="42" spans="1:11" s="3" customFormat="1" ht="15">
      <c r="A42" s="9" t="s">
        <v>20</v>
      </c>
      <c r="B42" s="306" t="s">
        <v>286</v>
      </c>
      <c r="C42" s="307"/>
      <c r="D42" s="199"/>
      <c r="E42" s="199"/>
      <c r="F42" s="296">
        <f>E25*1%</f>
        <v>155.6307</v>
      </c>
      <c r="G42" s="296"/>
      <c r="H42" s="25"/>
      <c r="I42" s="25"/>
      <c r="J42" s="25"/>
      <c r="K42" s="25"/>
    </row>
    <row r="43" s="25" customFormat="1" ht="9" customHeight="1"/>
    <row r="44" spans="1:11" s="25" customFormat="1" ht="1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  <c r="J44" s="3"/>
      <c r="K44" s="3"/>
    </row>
    <row r="45" spans="1:7" s="25" customFormat="1" ht="15">
      <c r="A45" s="3"/>
      <c r="B45" s="3"/>
      <c r="C45" s="101"/>
      <c r="D45" s="3"/>
      <c r="E45" s="3"/>
      <c r="F45" s="4" t="s">
        <v>303</v>
      </c>
      <c r="G45" s="3"/>
    </row>
    <row r="46" spans="1:10" s="25" customFormat="1" ht="1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11" ht="15">
      <c r="A47" s="3"/>
      <c r="B47" s="3"/>
      <c r="C47" s="106" t="s">
        <v>51</v>
      </c>
      <c r="D47" s="3"/>
      <c r="E47" s="14"/>
      <c r="F47" s="14"/>
      <c r="G47" s="14"/>
      <c r="H47" s="25"/>
      <c r="I47" s="25"/>
      <c r="J47" s="25"/>
      <c r="K47" s="25"/>
    </row>
    <row r="48" spans="1:1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2020-04-06T10:07:19Z</dcterms:modified>
  <cp:category/>
  <cp:version/>
  <cp:contentType/>
  <cp:contentStatus/>
</cp:coreProperties>
</file>