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145" windowWidth="15120" windowHeight="5970" tabRatio="599"/>
  </bookViews>
  <sheets>
    <sheet name="Телевизионная 2а" sheetId="1" r:id="rId1"/>
    <sheet name="Пионерская 16" sheetId="2" r:id="rId2"/>
    <sheet name="Пионерская 1318" sheetId="3" r:id="rId3"/>
    <sheet name="Багговута 12" sheetId="4" r:id="rId4"/>
    <sheet name="Пионерская 15" sheetId="5" r:id="rId5"/>
    <sheet name="Социалистическая 3" sheetId="6" r:id="rId6"/>
    <sheet name="Социалистическая 4" sheetId="7" r:id="rId7"/>
    <sheet name="Социалистическая 6 к.1" sheetId="9" r:id="rId8"/>
    <sheet name="Социалистическая 6" sheetId="8" r:id="rId9"/>
    <sheet name="Социалистическая 9" sheetId="10" r:id="rId10"/>
    <sheet name="Социалистическая 12" sheetId="11" r:id="rId11"/>
    <sheet name="Телевизионная 2" sheetId="12" r:id="rId12"/>
    <sheet name="Телевизионная 4" sheetId="13" r:id="rId13"/>
    <sheet name="Чичерина 7а" sheetId="14" r:id="rId14"/>
    <sheet name="Чичерина 8" sheetId="15" r:id="rId15"/>
    <sheet name="Чичерина 16 к. 1" sheetId="17" r:id="rId16"/>
    <sheet name="пер.Чичерина 24" sheetId="18" r:id="rId17"/>
    <sheet name="пер. Чичерина 28" sheetId="19" r:id="rId18"/>
    <sheet name="Калинина 12" sheetId="20" r:id="rId19"/>
    <sheet name="Калинина 18" sheetId="21" r:id="rId20"/>
    <sheet name="Калинина 23" sheetId="22" r:id="rId21"/>
    <sheet name="Пионерская 9" sheetId="23" r:id="rId22"/>
    <sheet name="Высокая 4" sheetId="24" r:id="rId23"/>
    <sheet name="Пухова 15" sheetId="25" r:id="rId24"/>
    <sheet name="Пухова 17" sheetId="28" r:id="rId25"/>
    <sheet name="Калинина 4" sheetId="29" r:id="rId26"/>
    <sheet name="Пионерская 18" sheetId="30" r:id="rId27"/>
    <sheet name="Чичерина 12 к.1" sheetId="31" r:id="rId28"/>
    <sheet name="Телевизионная 6 к.1" sheetId="32" r:id="rId29"/>
    <sheet name="Пионерская 2" sheetId="34" r:id="rId30"/>
    <sheet name="Телевизионная 2 к.1" sheetId="35" r:id="rId31"/>
    <sheet name="Чичерина 16" sheetId="36" r:id="rId32"/>
    <sheet name="Чичерина 22" sheetId="37" r:id="rId33"/>
    <sheet name="Лист1" sheetId="38" state="hidden" r:id="rId34"/>
    <sheet name="Лист2" sheetId="39" state="hidden" r:id="rId35"/>
    <sheet name="Ленина 68,8" sheetId="42" r:id="rId36"/>
    <sheet name="Ленина 67" sheetId="43" r:id="rId37"/>
    <sheet name="Огарева 20" sheetId="44" r:id="rId38"/>
    <sheet name="Пролетарская 40" sheetId="45" r:id="rId39"/>
    <sheet name="Чижевского 4" sheetId="46" r:id="rId40"/>
    <sheet name="Билибина 10" sheetId="48" r:id="rId41"/>
    <sheet name="Ленина 61.5" sheetId="51" r:id="rId42"/>
    <sheet name="Билибина 26" sheetId="49" r:id="rId43"/>
    <sheet name="Билибина 28" sheetId="50" r:id="rId44"/>
    <sheet name="Общее" sheetId="47" state="hidden" r:id="rId45"/>
    <sheet name="Пролетарская 135" sheetId="52" r:id="rId46"/>
    <sheet name="Молодежная 41" sheetId="54" r:id="rId47"/>
    <sheet name="Солнечный б-р 2 общий" sheetId="55" r:id="rId48"/>
    <sheet name="Солнечный б-р 4" sheetId="56" r:id="rId49"/>
    <sheet name="Солнечный б-р 4-1" sheetId="57" r:id="rId50"/>
    <sheet name="Солнечный б-р 4-2" sheetId="58" r:id="rId51"/>
    <sheet name="Аллейная 2" sheetId="61" r:id="rId52"/>
    <sheet name="Телевизионная 10" sheetId="62" r:id="rId53"/>
    <sheet name="Дубрава 1" sheetId="72" r:id="rId54"/>
    <sheet name="Дубрава 1а" sheetId="78" r:id="rId55"/>
    <sheet name="Дубрава 2" sheetId="73" r:id="rId56"/>
    <sheet name="Дубрава 3" sheetId="63" r:id="rId57"/>
    <sheet name="Дубрава 4" sheetId="74" r:id="rId58"/>
    <sheet name="Дубрава 5" sheetId="79" r:id="rId59"/>
    <sheet name="Дубрава 6" sheetId="75" r:id="rId60"/>
    <sheet name="Дубрава 9" sheetId="76" r:id="rId61"/>
    <sheet name="Дубрава10" sheetId="64" r:id="rId62"/>
    <sheet name="Дубрава 11" sheetId="77" r:id="rId63"/>
    <sheet name="Нефтебаза 3" sheetId="65" r:id="rId64"/>
    <sheet name="Нефтебаза 5" sheetId="67" r:id="rId65"/>
    <sheet name="Нефтебаза 6" sheetId="80" r:id="rId66"/>
    <sheet name="Аэропортовская 14" sheetId="68" r:id="rId67"/>
    <sheet name="Дорожная 11 корп1" sheetId="69" r:id="rId68"/>
    <sheet name="Дорожная 11 корп2" sheetId="70" r:id="rId69"/>
    <sheet name="Моторная 30" sheetId="81" r:id="rId70"/>
    <sheet name="Грабцевское шоссе 160" sheetId="83" r:id="rId71"/>
    <sheet name="Аэропортовская 9" sheetId="82" r:id="rId72"/>
    <sheet name="Хрустальная 74" sheetId="84" r:id="rId73"/>
    <sheet name="Молодежная 46" sheetId="85" r:id="rId74"/>
    <sheet name="Грабцевское шоссе 132 корп.1" sheetId="86" r:id="rId75"/>
  </sheets>
  <definedNames>
    <definedName name="_xlnm.Print_Area" localSheetId="3">'Багговута 12'!$A$1:$K$58</definedName>
    <definedName name="_xlnm.Print_Area" localSheetId="46">'Молодежная 41'!$A$1:$L$64</definedName>
    <definedName name="_xlnm.Print_Area" localSheetId="16">'пер.Чичерина 24'!$A$1:$H$56</definedName>
    <definedName name="_xlnm.Print_Area" localSheetId="2">'Пионерская 1318'!$A$1:$K$50</definedName>
    <definedName name="_xlnm.Print_Area" localSheetId="1">'Пионерская 16'!$A$1:$K$53</definedName>
    <definedName name="_xlnm.Print_Area" localSheetId="0">'Телевизионная 2а'!$A$1:$K$51</definedName>
  </definedNames>
  <calcPr calcId="145621"/>
</workbook>
</file>

<file path=xl/calcChain.xml><?xml version="1.0" encoding="utf-8"?>
<calcChain xmlns="http://schemas.openxmlformats.org/spreadsheetml/2006/main">
  <c r="G37" i="42" l="1"/>
  <c r="G36" i="1" l="1"/>
  <c r="G36" i="3"/>
  <c r="G37" i="4"/>
  <c r="G36" i="5"/>
  <c r="G37" i="6"/>
  <c r="G37" i="9"/>
  <c r="F50" i="9"/>
  <c r="G37" i="11"/>
  <c r="G37" i="13"/>
  <c r="G37" i="14"/>
  <c r="G36" i="20"/>
  <c r="G36" i="21"/>
  <c r="G36" i="22"/>
  <c r="G36" i="23"/>
  <c r="G36" i="30"/>
  <c r="G36" i="35"/>
  <c r="G36" i="43" l="1"/>
  <c r="G37" i="46" l="1"/>
  <c r="G37" i="48"/>
  <c r="G37" i="51"/>
  <c r="G35" i="62" l="1"/>
  <c r="F48" i="62" l="1"/>
  <c r="F40" i="83" l="1"/>
  <c r="D34" i="49"/>
  <c r="F42" i="49"/>
  <c r="G37" i="20"/>
  <c r="F42" i="20"/>
  <c r="F24" i="20"/>
  <c r="F46" i="20"/>
  <c r="F47" i="20"/>
  <c r="F25" i="86" l="1"/>
  <c r="D25" i="86"/>
  <c r="F46" i="86"/>
  <c r="G35" i="74" l="1"/>
  <c r="G36" i="85"/>
  <c r="D35" i="56"/>
  <c r="D35" i="55"/>
  <c r="H18" i="54" l="1"/>
  <c r="E36" i="54"/>
  <c r="F42" i="43"/>
  <c r="F42" i="62"/>
  <c r="F43" i="11"/>
  <c r="F48" i="7"/>
  <c r="F43" i="7"/>
  <c r="F40" i="84" l="1"/>
  <c r="F42" i="3"/>
  <c r="F42" i="22"/>
  <c r="F44" i="4"/>
  <c r="F44" i="10"/>
  <c r="F43" i="17"/>
  <c r="F42" i="36"/>
  <c r="F40" i="65"/>
  <c r="F45" i="21"/>
  <c r="F42" i="21"/>
  <c r="F27" i="28"/>
  <c r="F42" i="28"/>
  <c r="G36" i="57"/>
  <c r="F45" i="86"/>
  <c r="F46" i="85"/>
  <c r="F44" i="84"/>
  <c r="F41" i="82"/>
  <c r="F45" i="83"/>
  <c r="F42" i="81"/>
  <c r="F51" i="70"/>
  <c r="F49" i="69"/>
  <c r="F47" i="68"/>
  <c r="F46" i="80"/>
  <c r="F44" i="67"/>
  <c r="F46" i="65"/>
  <c r="F42" i="77"/>
  <c r="F43" i="64"/>
  <c r="F41" i="76"/>
  <c r="F45" i="75"/>
  <c r="F41" i="79"/>
  <c r="F43" i="74"/>
  <c r="F42" i="63"/>
  <c r="F44" i="73"/>
  <c r="F41" i="78"/>
  <c r="F41" i="72"/>
  <c r="F47" i="62"/>
  <c r="F44" i="61"/>
  <c r="F47" i="58"/>
  <c r="F44" i="57"/>
  <c r="G52" i="56"/>
  <c r="G41" i="56" s="1"/>
  <c r="G58" i="54"/>
  <c r="F46" i="52"/>
  <c r="F47" i="50"/>
  <c r="F50" i="49"/>
  <c r="F51" i="51"/>
  <c r="F45" i="48"/>
  <c r="F48" i="46"/>
  <c r="F48" i="45"/>
  <c r="F43" i="44"/>
  <c r="F46" i="43"/>
  <c r="F54" i="42"/>
  <c r="F44" i="37"/>
  <c r="F43" i="36"/>
  <c r="F45" i="35"/>
  <c r="F54" i="34"/>
  <c r="F43" i="32"/>
  <c r="F45" i="31"/>
  <c r="F53" i="30"/>
  <c r="F45" i="29"/>
  <c r="F46" i="28"/>
  <c r="F44" i="25"/>
  <c r="F42" i="25" s="1"/>
  <c r="F43" i="24"/>
  <c r="F43" i="23"/>
  <c r="F47" i="22"/>
  <c r="F44" i="19"/>
  <c r="F48" i="18"/>
  <c r="F50" i="17"/>
  <c r="F45" i="15"/>
  <c r="F27" i="14"/>
  <c r="F46" i="14"/>
  <c r="F48" i="13"/>
  <c r="F46" i="12"/>
  <c r="F52" i="11"/>
  <c r="F47" i="10"/>
  <c r="F46" i="8"/>
  <c r="F49" i="9"/>
  <c r="F50" i="6"/>
  <c r="F47" i="5"/>
  <c r="F50" i="4"/>
  <c r="F45" i="3"/>
  <c r="F48" i="2"/>
  <c r="G45" i="1"/>
  <c r="F25" i="11" l="1"/>
  <c r="F26" i="11"/>
  <c r="F24" i="11"/>
  <c r="D35" i="48"/>
  <c r="F26" i="48"/>
  <c r="F27" i="56"/>
  <c r="F27" i="58"/>
  <c r="F24" i="62"/>
  <c r="F26" i="82"/>
  <c r="F26" i="81"/>
  <c r="F25" i="69"/>
  <c r="D33" i="65"/>
  <c r="F26" i="62"/>
  <c r="F40" i="58"/>
  <c r="F43" i="51"/>
  <c r="F41" i="45"/>
  <c r="F26" i="45" s="1"/>
  <c r="F55" i="42"/>
  <c r="F44" i="44"/>
  <c r="F42" i="30"/>
  <c r="F42" i="29"/>
  <c r="F42" i="18"/>
  <c r="D34" i="18"/>
  <c r="F44" i="13"/>
  <c r="F28" i="9"/>
  <c r="G37" i="8"/>
  <c r="F28" i="6"/>
  <c r="F51" i="6"/>
  <c r="D34" i="5"/>
  <c r="F42" i="5"/>
  <c r="F43" i="2" l="1"/>
  <c r="G38" i="2"/>
  <c r="G37" i="2"/>
  <c r="D34" i="86"/>
  <c r="D34" i="85"/>
  <c r="D33" i="84"/>
  <c r="D33" i="82"/>
  <c r="D33" i="83"/>
  <c r="D28" i="70"/>
  <c r="D34" i="70"/>
  <c r="D34" i="69"/>
  <c r="D33" i="68"/>
  <c r="D33" i="80"/>
  <c r="D33" i="67"/>
  <c r="D33" i="77"/>
  <c r="D33" i="76"/>
  <c r="D33" i="75"/>
  <c r="D33" i="79"/>
  <c r="D33" i="74"/>
  <c r="D33" i="63"/>
  <c r="D33" i="73"/>
  <c r="D33" i="78"/>
  <c r="D33" i="72"/>
  <c r="D33" i="62"/>
  <c r="D36" i="61"/>
  <c r="D34" i="58"/>
  <c r="D34" i="52"/>
  <c r="D35" i="51"/>
  <c r="D35" i="46"/>
  <c r="D34" i="45"/>
  <c r="D34" i="43"/>
  <c r="D34" i="37"/>
  <c r="D34" i="34"/>
  <c r="D34" i="32"/>
  <c r="D34" i="31"/>
  <c r="D34" i="30"/>
  <c r="D34" i="22"/>
  <c r="D34" i="19"/>
  <c r="D35" i="10"/>
  <c r="D35" i="7"/>
  <c r="D35" i="6"/>
  <c r="D35" i="2"/>
  <c r="G42" i="1"/>
  <c r="F41" i="86" l="1"/>
  <c r="F26" i="86"/>
  <c r="G36" i="86" s="1"/>
  <c r="G32" i="86"/>
  <c r="F32" i="86"/>
  <c r="G31" i="86"/>
  <c r="F31" i="86"/>
  <c r="G30" i="86"/>
  <c r="F30" i="86"/>
  <c r="G29" i="86"/>
  <c r="F29" i="86"/>
  <c r="E28" i="86"/>
  <c r="D28" i="86"/>
  <c r="G27" i="86"/>
  <c r="F27" i="86"/>
  <c r="G26" i="86"/>
  <c r="G25" i="86"/>
  <c r="G24" i="86"/>
  <c r="F24" i="86"/>
  <c r="G23" i="86"/>
  <c r="F23" i="86"/>
  <c r="H22" i="86"/>
  <c r="H21" i="86"/>
  <c r="H20" i="86"/>
  <c r="H19" i="86"/>
  <c r="H18" i="86"/>
  <c r="G17" i="86"/>
  <c r="F17" i="86"/>
  <c r="C17" i="86"/>
  <c r="H17" i="86" s="1"/>
  <c r="I22" i="86" s="1"/>
  <c r="F41" i="85"/>
  <c r="F26" i="85" s="1"/>
  <c r="E22" i="85"/>
  <c r="D22" i="85"/>
  <c r="I22" i="85"/>
  <c r="H22" i="85"/>
  <c r="C20" i="85"/>
  <c r="C17" i="85" s="1"/>
  <c r="H17" i="85" s="1"/>
  <c r="I20" i="85" s="1"/>
  <c r="D28" i="85"/>
  <c r="G32" i="85"/>
  <c r="F32" i="85"/>
  <c r="G31" i="85"/>
  <c r="F31" i="85"/>
  <c r="G30" i="85"/>
  <c r="F30" i="85"/>
  <c r="G29" i="85"/>
  <c r="F29" i="85"/>
  <c r="F28" i="85" s="1"/>
  <c r="E28" i="85"/>
  <c r="G27" i="85"/>
  <c r="F27" i="85"/>
  <c r="G26" i="85"/>
  <c r="G25" i="85"/>
  <c r="F25" i="85"/>
  <c r="G24" i="85"/>
  <c r="F24" i="85"/>
  <c r="G23" i="85"/>
  <c r="F23" i="85"/>
  <c r="H21" i="85"/>
  <c r="H20" i="85"/>
  <c r="H19" i="85"/>
  <c r="H18" i="85"/>
  <c r="G17" i="85"/>
  <c r="F17" i="85"/>
  <c r="F25" i="84"/>
  <c r="G35" i="84" s="1"/>
  <c r="G31" i="84"/>
  <c r="F31" i="84"/>
  <c r="G30" i="84"/>
  <c r="F30" i="84"/>
  <c r="G29" i="84"/>
  <c r="F29" i="84"/>
  <c r="G28" i="84"/>
  <c r="F28" i="84"/>
  <c r="E27" i="84"/>
  <c r="D27" i="84"/>
  <c r="G26" i="84"/>
  <c r="F26" i="84"/>
  <c r="G25" i="84"/>
  <c r="G24" i="84"/>
  <c r="F24" i="84"/>
  <c r="G23" i="84"/>
  <c r="F23" i="84"/>
  <c r="G22" i="84"/>
  <c r="F22" i="84"/>
  <c r="H21" i="84"/>
  <c r="I21" i="84" s="1"/>
  <c r="H20" i="84"/>
  <c r="I20" i="84" s="1"/>
  <c r="H19" i="84"/>
  <c r="I19" i="84" s="1"/>
  <c r="H18" i="84"/>
  <c r="I18" i="84" s="1"/>
  <c r="H17" i="84"/>
  <c r="G17" i="84"/>
  <c r="F17" i="84"/>
  <c r="C17" i="84"/>
  <c r="G28" i="86" l="1"/>
  <c r="F28" i="86"/>
  <c r="I21" i="86"/>
  <c r="D21" i="86" s="1"/>
  <c r="F21" i="86" s="1"/>
  <c r="I18" i="86"/>
  <c r="E18" i="86" s="1"/>
  <c r="I19" i="86"/>
  <c r="E19" i="86" s="1"/>
  <c r="I20" i="86"/>
  <c r="E20" i="86" s="1"/>
  <c r="D19" i="86"/>
  <c r="F19" i="86" s="1"/>
  <c r="E22" i="86"/>
  <c r="D22" i="86"/>
  <c r="F22" i="86" s="1"/>
  <c r="D18" i="86"/>
  <c r="F18" i="86" s="1"/>
  <c r="I21" i="85"/>
  <c r="E21" i="85" s="1"/>
  <c r="I19" i="85"/>
  <c r="E19" i="85" s="1"/>
  <c r="G28" i="85"/>
  <c r="E20" i="85"/>
  <c r="D20" i="85"/>
  <c r="F20" i="85" s="1"/>
  <c r="I18" i="85"/>
  <c r="F27" i="84"/>
  <c r="G27" i="84"/>
  <c r="E21" i="84"/>
  <c r="D21" i="84"/>
  <c r="F21" i="84" s="1"/>
  <c r="E18" i="84"/>
  <c r="G18" i="84" s="1"/>
  <c r="D18" i="84"/>
  <c r="F18" i="84" s="1"/>
  <c r="E19" i="84"/>
  <c r="D19" i="84"/>
  <c r="F19" i="84" s="1"/>
  <c r="E20" i="84"/>
  <c r="G20" i="84" s="1"/>
  <c r="D20" i="84"/>
  <c r="F20" i="84" s="1"/>
  <c r="F25" i="83"/>
  <c r="G35" i="83" s="1"/>
  <c r="F26" i="83"/>
  <c r="F24" i="83"/>
  <c r="F22" i="83"/>
  <c r="G31" i="83"/>
  <c r="F31" i="83"/>
  <c r="G30" i="83"/>
  <c r="F30" i="83"/>
  <c r="G29" i="83"/>
  <c r="F29" i="83"/>
  <c r="G28" i="83"/>
  <c r="F28" i="83"/>
  <c r="E27" i="83"/>
  <c r="D27" i="83"/>
  <c r="G26" i="83"/>
  <c r="G25" i="83"/>
  <c r="G24" i="83"/>
  <c r="G23" i="83"/>
  <c r="F23" i="83"/>
  <c r="G22" i="83"/>
  <c r="H21" i="83"/>
  <c r="H20" i="83"/>
  <c r="H19" i="83"/>
  <c r="H18" i="83"/>
  <c r="G17" i="83"/>
  <c r="F17" i="83"/>
  <c r="C17" i="83"/>
  <c r="H17" i="83" s="1"/>
  <c r="F40" i="82"/>
  <c r="F25" i="82" s="1"/>
  <c r="G35" i="82" s="1"/>
  <c r="G31" i="82"/>
  <c r="F31" i="82"/>
  <c r="G30" i="82"/>
  <c r="F30" i="82"/>
  <c r="G29" i="82"/>
  <c r="F29" i="82"/>
  <c r="G28" i="82"/>
  <c r="G27" i="82" s="1"/>
  <c r="F28" i="82"/>
  <c r="E27" i="82"/>
  <c r="D27" i="82"/>
  <c r="G26" i="82"/>
  <c r="G25" i="82"/>
  <c r="G24" i="82"/>
  <c r="G23" i="82"/>
  <c r="F23" i="82"/>
  <c r="G22" i="82"/>
  <c r="H21" i="82"/>
  <c r="H20" i="82"/>
  <c r="I20" i="82" s="1"/>
  <c r="H19" i="82"/>
  <c r="H18" i="82"/>
  <c r="I18" i="82" s="1"/>
  <c r="H17" i="82"/>
  <c r="G17" i="82"/>
  <c r="F17" i="82"/>
  <c r="C17" i="82"/>
  <c r="F40" i="81"/>
  <c r="F25" i="81" s="1"/>
  <c r="G35" i="81" s="1"/>
  <c r="G31" i="81"/>
  <c r="F31" i="81"/>
  <c r="G30" i="81"/>
  <c r="F30" i="81"/>
  <c r="G29" i="81"/>
  <c r="F29" i="81"/>
  <c r="G28" i="81"/>
  <c r="F28" i="81"/>
  <c r="F27" i="81" s="1"/>
  <c r="E27" i="81"/>
  <c r="D27" i="81"/>
  <c r="D33" i="81" s="1"/>
  <c r="G26" i="81"/>
  <c r="G25" i="81"/>
  <c r="G24" i="81"/>
  <c r="G23" i="81"/>
  <c r="F23" i="81"/>
  <c r="G22" i="81"/>
  <c r="H21" i="81"/>
  <c r="H20" i="81"/>
  <c r="H19" i="81"/>
  <c r="H18" i="81"/>
  <c r="G17" i="81"/>
  <c r="F17" i="81"/>
  <c r="C17" i="81"/>
  <c r="H17" i="81" s="1"/>
  <c r="I21" i="81" l="1"/>
  <c r="D21" i="81" s="1"/>
  <c r="F21" i="81" s="1"/>
  <c r="E21" i="86"/>
  <c r="D20" i="86"/>
  <c r="F20" i="86" s="1"/>
  <c r="G18" i="86"/>
  <c r="G22" i="86"/>
  <c r="G19" i="86"/>
  <c r="G21" i="86"/>
  <c r="D21" i="85"/>
  <c r="F21" i="85" s="1"/>
  <c r="G20" i="85"/>
  <c r="D19" i="85"/>
  <c r="F19" i="85" s="1"/>
  <c r="E18" i="85"/>
  <c r="D18" i="85"/>
  <c r="G19" i="85"/>
  <c r="G19" i="84"/>
  <c r="G21" i="84"/>
  <c r="F27" i="83"/>
  <c r="G27" i="83"/>
  <c r="I19" i="83"/>
  <c r="I20" i="83"/>
  <c r="I21" i="83"/>
  <c r="I18" i="83"/>
  <c r="D18" i="82"/>
  <c r="F18" i="82" s="1"/>
  <c r="E18" i="82"/>
  <c r="G18" i="82" s="1"/>
  <c r="D20" i="82"/>
  <c r="F20" i="82" s="1"/>
  <c r="E20" i="82"/>
  <c r="I19" i="82"/>
  <c r="E19" i="82" s="1"/>
  <c r="I21" i="82"/>
  <c r="F27" i="82"/>
  <c r="D19" i="82"/>
  <c r="F19" i="82" s="1"/>
  <c r="E21" i="82"/>
  <c r="D21" i="82"/>
  <c r="F21" i="82" s="1"/>
  <c r="I18" i="81"/>
  <c r="D18" i="81" s="1"/>
  <c r="F18" i="81" s="1"/>
  <c r="I20" i="81"/>
  <c r="D20" i="81" s="1"/>
  <c r="F20" i="81" s="1"/>
  <c r="I19" i="81"/>
  <c r="D19" i="81" s="1"/>
  <c r="F19" i="81" s="1"/>
  <c r="G27" i="81"/>
  <c r="E18" i="81"/>
  <c r="F22" i="69"/>
  <c r="G22" i="69"/>
  <c r="E22" i="69"/>
  <c r="D22" i="69"/>
  <c r="I22" i="69"/>
  <c r="C17" i="69"/>
  <c r="C19" i="69"/>
  <c r="H22" i="69"/>
  <c r="H17" i="70"/>
  <c r="G17" i="70"/>
  <c r="G22" i="70"/>
  <c r="F22" i="70"/>
  <c r="E22" i="70"/>
  <c r="D22" i="70"/>
  <c r="D21" i="70"/>
  <c r="I22" i="70"/>
  <c r="I21" i="70"/>
  <c r="H18" i="70"/>
  <c r="H19" i="70"/>
  <c r="H20" i="70"/>
  <c r="H21" i="70"/>
  <c r="H22" i="70"/>
  <c r="C17" i="70"/>
  <c r="C19" i="70"/>
  <c r="E21" i="81" l="1"/>
  <c r="G21" i="81"/>
  <c r="E20" i="81"/>
  <c r="G20" i="81" s="1"/>
  <c r="G20" i="86"/>
  <c r="G21" i="85"/>
  <c r="F18" i="85"/>
  <c r="F22" i="85"/>
  <c r="G18" i="85"/>
  <c r="E21" i="83"/>
  <c r="D21" i="83"/>
  <c r="F21" i="83" s="1"/>
  <c r="E20" i="83"/>
  <c r="G20" i="83" s="1"/>
  <c r="D20" i="83"/>
  <c r="F20" i="83" s="1"/>
  <c r="E19" i="83"/>
  <c r="D19" i="83"/>
  <c r="F19" i="83" s="1"/>
  <c r="E18" i="83"/>
  <c r="G18" i="83" s="1"/>
  <c r="D18" i="83"/>
  <c r="F18" i="83" s="1"/>
  <c r="G20" i="82"/>
  <c r="G19" i="82"/>
  <c r="G21" i="82"/>
  <c r="E19" i="81"/>
  <c r="G19" i="81" s="1"/>
  <c r="G18" i="81"/>
  <c r="F41" i="70"/>
  <c r="F26" i="70" s="1"/>
  <c r="G36" i="70" s="1"/>
  <c r="F41" i="69"/>
  <c r="F26" i="69" s="1"/>
  <c r="G36" i="69" s="1"/>
  <c r="G32" i="70"/>
  <c r="F32" i="70"/>
  <c r="G31" i="70"/>
  <c r="F31" i="70"/>
  <c r="G30" i="70"/>
  <c r="F30" i="70"/>
  <c r="G29" i="70"/>
  <c r="F29" i="70"/>
  <c r="E28" i="70"/>
  <c r="G27" i="70"/>
  <c r="G26" i="70"/>
  <c r="G25" i="70"/>
  <c r="G24" i="70"/>
  <c r="F24" i="70"/>
  <c r="G23" i="70"/>
  <c r="F23" i="70"/>
  <c r="F17" i="70"/>
  <c r="F17" i="69"/>
  <c r="F23" i="69"/>
  <c r="F32" i="69"/>
  <c r="F31" i="69"/>
  <c r="G32" i="69"/>
  <c r="G31" i="69"/>
  <c r="G30" i="69"/>
  <c r="F30" i="69"/>
  <c r="G29" i="69"/>
  <c r="F29" i="69"/>
  <c r="E28" i="69"/>
  <c r="D28" i="69"/>
  <c r="G27" i="69"/>
  <c r="G26" i="69"/>
  <c r="G25" i="69"/>
  <c r="G24" i="69"/>
  <c r="F24" i="69"/>
  <c r="G23" i="69"/>
  <c r="H21" i="69"/>
  <c r="H20" i="69"/>
  <c r="H19" i="69"/>
  <c r="H18" i="69"/>
  <c r="G17" i="69"/>
  <c r="H17" i="69"/>
  <c r="F40" i="68"/>
  <c r="F25" i="68" s="1"/>
  <c r="G35" i="68" s="1"/>
  <c r="G31" i="68"/>
  <c r="F31" i="68"/>
  <c r="G30" i="68"/>
  <c r="F30" i="68"/>
  <c r="G29" i="68"/>
  <c r="F29" i="68"/>
  <c r="G28" i="68"/>
  <c r="F28" i="68"/>
  <c r="F27" i="68" s="1"/>
  <c r="E27" i="68"/>
  <c r="D27" i="68"/>
  <c r="G26" i="68"/>
  <c r="G25" i="68"/>
  <c r="G24" i="68"/>
  <c r="G23" i="68"/>
  <c r="F23" i="68"/>
  <c r="G22" i="68"/>
  <c r="H21" i="68"/>
  <c r="H20" i="68"/>
  <c r="H19" i="68"/>
  <c r="H18" i="68"/>
  <c r="G17" i="68"/>
  <c r="F17" i="68"/>
  <c r="C17" i="68"/>
  <c r="H17" i="68" s="1"/>
  <c r="G22" i="85" l="1"/>
  <c r="G19" i="83"/>
  <c r="G21" i="83"/>
  <c r="F28" i="69"/>
  <c r="G28" i="70"/>
  <c r="F28" i="70"/>
  <c r="G28" i="69"/>
  <c r="I19" i="69"/>
  <c r="I20" i="69"/>
  <c r="I21" i="69"/>
  <c r="I18" i="69"/>
  <c r="I18" i="68"/>
  <c r="E18" i="68" s="1"/>
  <c r="G27" i="68"/>
  <c r="I21" i="68"/>
  <c r="I19" i="68"/>
  <c r="I20" i="68"/>
  <c r="F40" i="67"/>
  <c r="F40" i="80"/>
  <c r="F25" i="80" s="1"/>
  <c r="G35" i="80" s="1"/>
  <c r="G31" i="80"/>
  <c r="F31" i="80"/>
  <c r="G30" i="80"/>
  <c r="F30" i="80"/>
  <c r="G29" i="80"/>
  <c r="F29" i="80"/>
  <c r="G28" i="80"/>
  <c r="F28" i="80"/>
  <c r="F27" i="80" s="1"/>
  <c r="E27" i="80"/>
  <c r="D27" i="80"/>
  <c r="G26" i="80"/>
  <c r="G25" i="80"/>
  <c r="G24" i="80"/>
  <c r="G23" i="80"/>
  <c r="F23" i="80"/>
  <c r="G22" i="80"/>
  <c r="H21" i="80"/>
  <c r="I21" i="80" s="1"/>
  <c r="H20" i="80"/>
  <c r="I20" i="80" s="1"/>
  <c r="H19" i="80"/>
  <c r="I19" i="80" s="1"/>
  <c r="H18" i="80"/>
  <c r="I18" i="80" s="1"/>
  <c r="H17" i="80"/>
  <c r="G17" i="80"/>
  <c r="F17" i="80"/>
  <c r="C17" i="80"/>
  <c r="F25" i="67"/>
  <c r="G35" i="67" s="1"/>
  <c r="G31" i="67"/>
  <c r="F31" i="67"/>
  <c r="G30" i="67"/>
  <c r="F30" i="67"/>
  <c r="G29" i="67"/>
  <c r="F29" i="67"/>
  <c r="G28" i="67"/>
  <c r="F28" i="67"/>
  <c r="E27" i="67"/>
  <c r="D27" i="67"/>
  <c r="G26" i="67"/>
  <c r="G25" i="67"/>
  <c r="G24" i="67"/>
  <c r="G23" i="67"/>
  <c r="F23" i="67"/>
  <c r="G22" i="67"/>
  <c r="H21" i="67"/>
  <c r="H20" i="67"/>
  <c r="H19" i="67"/>
  <c r="H18" i="67"/>
  <c r="G17" i="67"/>
  <c r="F17" i="67"/>
  <c r="C17" i="67"/>
  <c r="H17" i="67" s="1"/>
  <c r="G31" i="65"/>
  <c r="F31" i="65"/>
  <c r="G30" i="65"/>
  <c r="F30" i="65"/>
  <c r="G29" i="65"/>
  <c r="F29" i="65"/>
  <c r="G28" i="65"/>
  <c r="F28" i="65"/>
  <c r="E27" i="65"/>
  <c r="D27" i="65"/>
  <c r="G26" i="65"/>
  <c r="G25" i="65"/>
  <c r="G24" i="65"/>
  <c r="G23" i="65"/>
  <c r="F23" i="65"/>
  <c r="G22" i="65"/>
  <c r="H21" i="65"/>
  <c r="H20" i="65"/>
  <c r="H19" i="65"/>
  <c r="H18" i="65"/>
  <c r="G17" i="65"/>
  <c r="F17" i="65"/>
  <c r="C17" i="65"/>
  <c r="H17" i="65" s="1"/>
  <c r="F40" i="64"/>
  <c r="F25" i="64" s="1"/>
  <c r="G35" i="64" s="1"/>
  <c r="F40" i="77"/>
  <c r="G31" i="64"/>
  <c r="F31" i="64"/>
  <c r="G30" i="64"/>
  <c r="F30" i="64"/>
  <c r="G29" i="64"/>
  <c r="F29" i="64"/>
  <c r="G28" i="64"/>
  <c r="F28" i="64"/>
  <c r="E27" i="64"/>
  <c r="D27" i="64"/>
  <c r="D33" i="64" s="1"/>
  <c r="G26" i="64"/>
  <c r="G25" i="64"/>
  <c r="G24" i="64"/>
  <c r="G23" i="64"/>
  <c r="F23" i="64"/>
  <c r="G22" i="64"/>
  <c r="H21" i="64"/>
  <c r="H20" i="64"/>
  <c r="H19" i="64"/>
  <c r="H18" i="64"/>
  <c r="G17" i="64"/>
  <c r="F17" i="64"/>
  <c r="C17" i="64"/>
  <c r="H17" i="64" s="1"/>
  <c r="F40" i="75"/>
  <c r="E21" i="69" l="1"/>
  <c r="D21" i="69"/>
  <c r="F21" i="69" s="1"/>
  <c r="E20" i="69"/>
  <c r="D20" i="69"/>
  <c r="F20" i="69" s="1"/>
  <c r="E19" i="69"/>
  <c r="D19" i="69"/>
  <c r="F19" i="69" s="1"/>
  <c r="E18" i="69"/>
  <c r="D18" i="69"/>
  <c r="F18" i="69" s="1"/>
  <c r="D18" i="68"/>
  <c r="F18" i="68" s="1"/>
  <c r="D19" i="68"/>
  <c r="F19" i="68" s="1"/>
  <c r="E19" i="68"/>
  <c r="D21" i="68"/>
  <c r="F21" i="68" s="1"/>
  <c r="E21" i="68"/>
  <c r="E20" i="68"/>
  <c r="D20" i="68"/>
  <c r="F20" i="68" s="1"/>
  <c r="G27" i="80"/>
  <c r="F27" i="67"/>
  <c r="E21" i="80"/>
  <c r="D21" i="80"/>
  <c r="F21" i="80" s="1"/>
  <c r="E18" i="80"/>
  <c r="G18" i="80" s="1"/>
  <c r="D18" i="80"/>
  <c r="F18" i="80" s="1"/>
  <c r="E19" i="80"/>
  <c r="D19" i="80"/>
  <c r="F19" i="80" s="1"/>
  <c r="E20" i="80"/>
  <c r="G20" i="80" s="1"/>
  <c r="D20" i="80"/>
  <c r="F20" i="80" s="1"/>
  <c r="G27" i="67"/>
  <c r="I19" i="67"/>
  <c r="I20" i="67"/>
  <c r="I21" i="67"/>
  <c r="I18" i="67"/>
  <c r="F25" i="65"/>
  <c r="G35" i="65" s="1"/>
  <c r="F27" i="65"/>
  <c r="G27" i="65"/>
  <c r="I19" i="65"/>
  <c r="I20" i="65"/>
  <c r="I21" i="65"/>
  <c r="I18" i="65"/>
  <c r="F27" i="64"/>
  <c r="G27" i="64"/>
  <c r="I19" i="64"/>
  <c r="I20" i="64"/>
  <c r="I21" i="64"/>
  <c r="I18" i="64"/>
  <c r="F40" i="79"/>
  <c r="F25" i="79" s="1"/>
  <c r="G35" i="79" s="1"/>
  <c r="G31" i="79"/>
  <c r="F31" i="79"/>
  <c r="G30" i="79"/>
  <c r="F30" i="79"/>
  <c r="G29" i="79"/>
  <c r="F29" i="79"/>
  <c r="G28" i="79"/>
  <c r="F28" i="79"/>
  <c r="F27" i="79" s="1"/>
  <c r="E27" i="79"/>
  <c r="D27" i="79"/>
  <c r="G26" i="79"/>
  <c r="G25" i="79"/>
  <c r="G24" i="79"/>
  <c r="G23" i="79"/>
  <c r="F23" i="79"/>
  <c r="G22" i="79"/>
  <c r="H21" i="79"/>
  <c r="H20" i="79"/>
  <c r="H19" i="79"/>
  <c r="H18" i="79"/>
  <c r="G17" i="79"/>
  <c r="F17" i="79"/>
  <c r="C17" i="79"/>
  <c r="H17" i="79" s="1"/>
  <c r="F40" i="78"/>
  <c r="F25" i="78" s="1"/>
  <c r="G35" i="78" s="1"/>
  <c r="G31" i="78"/>
  <c r="F31" i="78"/>
  <c r="G30" i="78"/>
  <c r="F30" i="78"/>
  <c r="G29" i="78"/>
  <c r="F29" i="78"/>
  <c r="G28" i="78"/>
  <c r="F28" i="78"/>
  <c r="E27" i="78"/>
  <c r="D27" i="78"/>
  <c r="G26" i="78"/>
  <c r="G25" i="78"/>
  <c r="G24" i="78"/>
  <c r="G23" i="78"/>
  <c r="F23" i="78"/>
  <c r="G22" i="78"/>
  <c r="H21" i="78"/>
  <c r="I21" i="78" s="1"/>
  <c r="H20" i="78"/>
  <c r="H19" i="78"/>
  <c r="H18" i="78"/>
  <c r="G17" i="78"/>
  <c r="F17" i="78"/>
  <c r="C17" i="78"/>
  <c r="H17" i="78" s="1"/>
  <c r="F25" i="77"/>
  <c r="G35" i="77" s="1"/>
  <c r="G31" i="77"/>
  <c r="F31" i="77"/>
  <c r="G30" i="77"/>
  <c r="F30" i="77"/>
  <c r="G29" i="77"/>
  <c r="F29" i="77"/>
  <c r="G28" i="77"/>
  <c r="F28" i="77"/>
  <c r="E27" i="77"/>
  <c r="D27" i="77"/>
  <c r="G26" i="77"/>
  <c r="G25" i="77"/>
  <c r="G24" i="77"/>
  <c r="G23" i="77"/>
  <c r="F23" i="77"/>
  <c r="G22" i="77"/>
  <c r="H21" i="77"/>
  <c r="H20" i="77"/>
  <c r="H19" i="77"/>
  <c r="H18" i="77"/>
  <c r="G17" i="77"/>
  <c r="F17" i="77"/>
  <c r="C17" i="77"/>
  <c r="H17" i="77" s="1"/>
  <c r="F40" i="76"/>
  <c r="F25" i="76" s="1"/>
  <c r="G35" i="76" s="1"/>
  <c r="G31" i="76"/>
  <c r="F31" i="76"/>
  <c r="G30" i="76"/>
  <c r="F30" i="76"/>
  <c r="G29" i="76"/>
  <c r="F29" i="76"/>
  <c r="G28" i="76"/>
  <c r="F28" i="76"/>
  <c r="F27" i="76" s="1"/>
  <c r="E27" i="76"/>
  <c r="D27" i="76"/>
  <c r="G26" i="76"/>
  <c r="G25" i="76"/>
  <c r="G24" i="76"/>
  <c r="G23" i="76"/>
  <c r="F23" i="76"/>
  <c r="G22" i="76"/>
  <c r="H21" i="76"/>
  <c r="H20" i="76"/>
  <c r="H19" i="76"/>
  <c r="H18" i="76"/>
  <c r="G17" i="76"/>
  <c r="F17" i="76"/>
  <c r="C17" i="76"/>
  <c r="H17" i="76" s="1"/>
  <c r="F25" i="75"/>
  <c r="G35" i="75" s="1"/>
  <c r="G31" i="75"/>
  <c r="F31" i="75"/>
  <c r="G30" i="75"/>
  <c r="F30" i="75"/>
  <c r="G29" i="75"/>
  <c r="F29" i="75"/>
  <c r="G28" i="75"/>
  <c r="F28" i="75"/>
  <c r="E27" i="75"/>
  <c r="D27" i="75"/>
  <c r="G26" i="75"/>
  <c r="G25" i="75"/>
  <c r="G24" i="75"/>
  <c r="G23" i="75"/>
  <c r="F23" i="75"/>
  <c r="G22" i="75"/>
  <c r="H21" i="75"/>
  <c r="I21" i="75" s="1"/>
  <c r="I20" i="75"/>
  <c r="D20" i="75" s="1"/>
  <c r="F20" i="75" s="1"/>
  <c r="H20" i="75"/>
  <c r="E20" i="75"/>
  <c r="H19" i="75"/>
  <c r="I19" i="75" s="1"/>
  <c r="I18" i="75"/>
  <c r="D18" i="75" s="1"/>
  <c r="F18" i="75" s="1"/>
  <c r="H18" i="75"/>
  <c r="E18" i="75"/>
  <c r="H17" i="75"/>
  <c r="G17" i="75"/>
  <c r="F17" i="75"/>
  <c r="C17" i="75"/>
  <c r="F40" i="74"/>
  <c r="F25" i="74" s="1"/>
  <c r="G31" i="74"/>
  <c r="F31" i="74"/>
  <c r="G30" i="74"/>
  <c r="F30" i="74"/>
  <c r="G29" i="74"/>
  <c r="F29" i="74"/>
  <c r="G28" i="74"/>
  <c r="F28" i="74"/>
  <c r="F27" i="74" s="1"/>
  <c r="E27" i="74"/>
  <c r="D27" i="74"/>
  <c r="G26" i="74"/>
  <c r="G25" i="74"/>
  <c r="G24" i="74"/>
  <c r="G23" i="74"/>
  <c r="F23" i="74"/>
  <c r="G22" i="74"/>
  <c r="H21" i="74"/>
  <c r="H20" i="74"/>
  <c r="H19" i="74"/>
  <c r="H18" i="74"/>
  <c r="G17" i="74"/>
  <c r="F17" i="74"/>
  <c r="C17" i="74"/>
  <c r="H17" i="74" s="1"/>
  <c r="G19" i="69" l="1"/>
  <c r="G21" i="69"/>
  <c r="G18" i="69"/>
  <c r="G20" i="69"/>
  <c r="G18" i="68"/>
  <c r="G19" i="68"/>
  <c r="G21" i="68"/>
  <c r="G20" i="68"/>
  <c r="G19" i="80"/>
  <c r="G21" i="80"/>
  <c r="E21" i="67"/>
  <c r="D21" i="67"/>
  <c r="F21" i="67" s="1"/>
  <c r="E20" i="67"/>
  <c r="D20" i="67"/>
  <c r="F20" i="67" s="1"/>
  <c r="E19" i="67"/>
  <c r="D19" i="67"/>
  <c r="F19" i="67" s="1"/>
  <c r="E18" i="67"/>
  <c r="D18" i="67"/>
  <c r="F18" i="67" s="1"/>
  <c r="E21" i="65"/>
  <c r="D21" i="65"/>
  <c r="F21" i="65" s="1"/>
  <c r="E20" i="65"/>
  <c r="G20" i="65" s="1"/>
  <c r="D20" i="65"/>
  <c r="F20" i="65" s="1"/>
  <c r="E19" i="65"/>
  <c r="D19" i="65"/>
  <c r="F19" i="65" s="1"/>
  <c r="E18" i="65"/>
  <c r="G18" i="65" s="1"/>
  <c r="D18" i="65"/>
  <c r="F18" i="65" s="1"/>
  <c r="F27" i="77"/>
  <c r="G27" i="77"/>
  <c r="E21" i="64"/>
  <c r="D21" i="64"/>
  <c r="F21" i="64" s="1"/>
  <c r="E20" i="64"/>
  <c r="D20" i="64"/>
  <c r="F20" i="64" s="1"/>
  <c r="E19" i="64"/>
  <c r="D19" i="64"/>
  <c r="F19" i="64" s="1"/>
  <c r="D18" i="64"/>
  <c r="F18" i="64" s="1"/>
  <c r="E18" i="64"/>
  <c r="G27" i="76"/>
  <c r="F27" i="75"/>
  <c r="G27" i="75"/>
  <c r="I21" i="79"/>
  <c r="D21" i="79" s="1"/>
  <c r="F21" i="79" s="1"/>
  <c r="G27" i="79"/>
  <c r="I20" i="79"/>
  <c r="I18" i="79"/>
  <c r="I19" i="79"/>
  <c r="G27" i="74"/>
  <c r="G27" i="78"/>
  <c r="F27" i="78"/>
  <c r="E21" i="78"/>
  <c r="D21" i="78"/>
  <c r="F21" i="78" s="1"/>
  <c r="I20" i="78"/>
  <c r="I18" i="78"/>
  <c r="I19" i="78"/>
  <c r="I20" i="77"/>
  <c r="I18" i="77"/>
  <c r="I19" i="77"/>
  <c r="I21" i="77"/>
  <c r="I19" i="76"/>
  <c r="I20" i="76"/>
  <c r="I21" i="76"/>
  <c r="I18" i="76"/>
  <c r="E19" i="75"/>
  <c r="D19" i="75"/>
  <c r="F19" i="75" s="1"/>
  <c r="E21" i="75"/>
  <c r="D21" i="75"/>
  <c r="F21" i="75" s="1"/>
  <c r="G18" i="75"/>
  <c r="G20" i="75"/>
  <c r="I19" i="74"/>
  <c r="I20" i="74"/>
  <c r="I21" i="74"/>
  <c r="I18" i="74"/>
  <c r="F40" i="63"/>
  <c r="F25" i="63" s="1"/>
  <c r="G35" i="63" s="1"/>
  <c r="G31" i="63"/>
  <c r="F31" i="63"/>
  <c r="G30" i="63"/>
  <c r="F30" i="63"/>
  <c r="G29" i="63"/>
  <c r="F29" i="63"/>
  <c r="G28" i="63"/>
  <c r="F28" i="63"/>
  <c r="E27" i="63"/>
  <c r="D27" i="63"/>
  <c r="G26" i="63"/>
  <c r="G25" i="63"/>
  <c r="G24" i="63"/>
  <c r="G23" i="63"/>
  <c r="F23" i="63"/>
  <c r="G22" i="63"/>
  <c r="H21" i="63"/>
  <c r="I20" i="63"/>
  <c r="D20" i="63" s="1"/>
  <c r="F20" i="63" s="1"/>
  <c r="H20" i="63"/>
  <c r="H19" i="63"/>
  <c r="I18" i="63"/>
  <c r="D18" i="63" s="1"/>
  <c r="F18" i="63" s="1"/>
  <c r="H18" i="63"/>
  <c r="H17" i="63"/>
  <c r="G17" i="63"/>
  <c r="F17" i="63"/>
  <c r="C17" i="63"/>
  <c r="F40" i="73"/>
  <c r="F25" i="73" s="1"/>
  <c r="G35" i="73" s="1"/>
  <c r="G31" i="73"/>
  <c r="F31" i="73"/>
  <c r="G30" i="73"/>
  <c r="F30" i="73"/>
  <c r="G29" i="73"/>
  <c r="F29" i="73"/>
  <c r="G28" i="73"/>
  <c r="F28" i="73"/>
  <c r="F27" i="73" s="1"/>
  <c r="E27" i="73"/>
  <c r="D27" i="73"/>
  <c r="G26" i="73"/>
  <c r="G25" i="73"/>
  <c r="G24" i="73"/>
  <c r="G23" i="73"/>
  <c r="F23" i="73"/>
  <c r="G22" i="73"/>
  <c r="H21" i="73"/>
  <c r="H20" i="73"/>
  <c r="H19" i="73"/>
  <c r="H18" i="73"/>
  <c r="H17" i="73"/>
  <c r="I20" i="73" s="1"/>
  <c r="G17" i="73"/>
  <c r="F17" i="73"/>
  <c r="C17" i="73"/>
  <c r="F40" i="72"/>
  <c r="F25" i="72" s="1"/>
  <c r="G35" i="72" s="1"/>
  <c r="H18" i="72"/>
  <c r="H19" i="72"/>
  <c r="H20" i="72"/>
  <c r="H21" i="72"/>
  <c r="H17" i="72"/>
  <c r="C17" i="72"/>
  <c r="G18" i="67" l="1"/>
  <c r="G20" i="67"/>
  <c r="G19" i="67"/>
  <c r="G21" i="67"/>
  <c r="G19" i="65"/>
  <c r="G21" i="65"/>
  <c r="G20" i="64"/>
  <c r="G19" i="64"/>
  <c r="G21" i="64"/>
  <c r="G18" i="64"/>
  <c r="E21" i="79"/>
  <c r="G21" i="79" s="1"/>
  <c r="E18" i="79"/>
  <c r="D18" i="79"/>
  <c r="F18" i="79" s="1"/>
  <c r="D20" i="79"/>
  <c r="F20" i="79" s="1"/>
  <c r="E20" i="79"/>
  <c r="E19" i="79"/>
  <c r="D19" i="79"/>
  <c r="F19" i="79" s="1"/>
  <c r="D20" i="78"/>
  <c r="F20" i="78" s="1"/>
  <c r="E20" i="78"/>
  <c r="G20" i="78" s="1"/>
  <c r="E19" i="78"/>
  <c r="D19" i="78"/>
  <c r="F19" i="78" s="1"/>
  <c r="G21" i="78"/>
  <c r="E18" i="78"/>
  <c r="D18" i="78"/>
  <c r="F18" i="78" s="1"/>
  <c r="E19" i="77"/>
  <c r="D19" i="77"/>
  <c r="F19" i="77" s="1"/>
  <c r="E20" i="77"/>
  <c r="D20" i="77"/>
  <c r="F20" i="77" s="1"/>
  <c r="D21" i="77"/>
  <c r="F21" i="77" s="1"/>
  <c r="E21" i="77"/>
  <c r="G21" i="77" s="1"/>
  <c r="D18" i="77"/>
  <c r="F18" i="77" s="1"/>
  <c r="E18" i="77"/>
  <c r="E21" i="76"/>
  <c r="D21" i="76"/>
  <c r="F21" i="76" s="1"/>
  <c r="E20" i="76"/>
  <c r="D20" i="76"/>
  <c r="F20" i="76" s="1"/>
  <c r="E18" i="76"/>
  <c r="D18" i="76"/>
  <c r="F18" i="76" s="1"/>
  <c r="E19" i="76"/>
  <c r="D19" i="76"/>
  <c r="F19" i="76" s="1"/>
  <c r="G21" i="75"/>
  <c r="G19" i="75"/>
  <c r="E21" i="74"/>
  <c r="D21" i="74"/>
  <c r="F21" i="74" s="1"/>
  <c r="E20" i="74"/>
  <c r="D20" i="74"/>
  <c r="F20" i="74" s="1"/>
  <c r="E19" i="74"/>
  <c r="D19" i="74"/>
  <c r="F19" i="74" s="1"/>
  <c r="E18" i="74"/>
  <c r="D18" i="74"/>
  <c r="F18" i="74" s="1"/>
  <c r="I19" i="63"/>
  <c r="D19" i="63" s="1"/>
  <c r="F19" i="63" s="1"/>
  <c r="I21" i="63"/>
  <c r="E18" i="63"/>
  <c r="G18" i="63" s="1"/>
  <c r="E20" i="63"/>
  <c r="G20" i="63" s="1"/>
  <c r="F27" i="63"/>
  <c r="G27" i="63"/>
  <c r="E19" i="63"/>
  <c r="D21" i="63"/>
  <c r="F21" i="63" s="1"/>
  <c r="E21" i="63"/>
  <c r="G27" i="73"/>
  <c r="E20" i="73"/>
  <c r="D20" i="73"/>
  <c r="F20" i="73" s="1"/>
  <c r="I19" i="73"/>
  <c r="I21" i="73"/>
  <c r="I18" i="73"/>
  <c r="G31" i="72"/>
  <c r="F31" i="72"/>
  <c r="G30" i="72"/>
  <c r="F30" i="72"/>
  <c r="G29" i="72"/>
  <c r="F29" i="72"/>
  <c r="G28" i="72"/>
  <c r="F28" i="72"/>
  <c r="E27" i="72"/>
  <c r="D27" i="72"/>
  <c r="G26" i="72"/>
  <c r="G25" i="72"/>
  <c r="G24" i="72"/>
  <c r="G23" i="72"/>
  <c r="F23" i="72"/>
  <c r="G22" i="72"/>
  <c r="I21" i="72"/>
  <c r="D21" i="72" s="1"/>
  <c r="F21" i="72" s="1"/>
  <c r="I20" i="72"/>
  <c r="E20" i="72"/>
  <c r="D20" i="72"/>
  <c r="F20" i="72" s="1"/>
  <c r="I19" i="72"/>
  <c r="E19" i="72" s="1"/>
  <c r="D19" i="72"/>
  <c r="F19" i="72" s="1"/>
  <c r="I18" i="72"/>
  <c r="E18" i="72" s="1"/>
  <c r="G17" i="72"/>
  <c r="F17" i="72"/>
  <c r="F42" i="61"/>
  <c r="F25" i="62"/>
  <c r="G20" i="77" l="1"/>
  <c r="G19" i="76"/>
  <c r="G20" i="76"/>
  <c r="G18" i="79"/>
  <c r="G20" i="79"/>
  <c r="G19" i="79"/>
  <c r="G18" i="74"/>
  <c r="G20" i="74"/>
  <c r="G19" i="78"/>
  <c r="G18" i="78"/>
  <c r="G18" i="77"/>
  <c r="G19" i="77"/>
  <c r="G18" i="76"/>
  <c r="G21" i="76"/>
  <c r="G19" i="74"/>
  <c r="G21" i="74"/>
  <c r="G19" i="63"/>
  <c r="G21" i="63"/>
  <c r="E21" i="72"/>
  <c r="G21" i="72" s="1"/>
  <c r="D19" i="73"/>
  <c r="F19" i="73" s="1"/>
  <c r="E19" i="73"/>
  <c r="G19" i="73" s="1"/>
  <c r="E18" i="73"/>
  <c r="D18" i="73"/>
  <c r="F18" i="73" s="1"/>
  <c r="G20" i="73"/>
  <c r="D21" i="73"/>
  <c r="F21" i="73" s="1"/>
  <c r="E21" i="73"/>
  <c r="G20" i="72"/>
  <c r="G27" i="72"/>
  <c r="F27" i="72"/>
  <c r="D18" i="72"/>
  <c r="F18" i="72" s="1"/>
  <c r="G19" i="72"/>
  <c r="G21" i="73" l="1"/>
  <c r="G18" i="73"/>
  <c r="G18" i="72"/>
  <c r="D27" i="62" l="1"/>
  <c r="H18" i="62"/>
  <c r="H19" i="62"/>
  <c r="H20" i="62"/>
  <c r="H21" i="62"/>
  <c r="C17" i="62"/>
  <c r="H17" i="62" s="1"/>
  <c r="H19" i="61"/>
  <c r="I19" i="61" s="1"/>
  <c r="D19" i="61" s="1"/>
  <c r="H20" i="61"/>
  <c r="H21" i="61"/>
  <c r="H22" i="61"/>
  <c r="H23" i="61"/>
  <c r="H24" i="61"/>
  <c r="C18" i="61"/>
  <c r="H18" i="61" s="1"/>
  <c r="H19" i="58"/>
  <c r="H20" i="58"/>
  <c r="H21" i="58"/>
  <c r="H22" i="58"/>
  <c r="I19" i="62" l="1"/>
  <c r="I18" i="62"/>
  <c r="D18" i="62" s="1"/>
  <c r="I20" i="61"/>
  <c r="E33" i="56"/>
  <c r="D33" i="56"/>
  <c r="F41" i="57"/>
  <c r="F27" i="57" s="1"/>
  <c r="H20" i="57"/>
  <c r="H21" i="57"/>
  <c r="H22" i="57"/>
  <c r="H23" i="57"/>
  <c r="C29" i="57"/>
  <c r="F26" i="56"/>
  <c r="H19" i="56"/>
  <c r="H20" i="56"/>
  <c r="H21" i="56"/>
  <c r="H22" i="56"/>
  <c r="D18" i="55"/>
  <c r="E32" i="55"/>
  <c r="D32" i="55"/>
  <c r="E31" i="55"/>
  <c r="D31" i="55"/>
  <c r="E30" i="55"/>
  <c r="D30" i="55"/>
  <c r="E29" i="55"/>
  <c r="D29" i="55"/>
  <c r="E26" i="55"/>
  <c r="G59" i="55" s="1"/>
  <c r="G45" i="55" s="1"/>
  <c r="F26" i="55" s="1"/>
  <c r="G37" i="55" s="1"/>
  <c r="D26" i="55"/>
  <c r="E25" i="55"/>
  <c r="D25" i="55"/>
  <c r="E24" i="55"/>
  <c r="D24" i="55"/>
  <c r="E23" i="55"/>
  <c r="D23" i="55"/>
  <c r="E18" i="55"/>
  <c r="H19" i="55"/>
  <c r="H20" i="55"/>
  <c r="H21" i="55"/>
  <c r="H22" i="55"/>
  <c r="G18" i="55" l="1"/>
  <c r="G46" i="54"/>
  <c r="G42" i="54" s="1"/>
  <c r="F32" i="54"/>
  <c r="E32" i="54"/>
  <c r="F33" i="54"/>
  <c r="E33" i="54"/>
  <c r="F30" i="54"/>
  <c r="F31" i="54"/>
  <c r="E30" i="54"/>
  <c r="E31" i="54"/>
  <c r="G27" i="54"/>
  <c r="H27" i="54" s="1"/>
  <c r="H25" i="54"/>
  <c r="G25" i="54"/>
  <c r="J19" i="54"/>
  <c r="J20" i="54"/>
  <c r="J21" i="54"/>
  <c r="J22" i="54"/>
  <c r="I18" i="54"/>
  <c r="G36" i="52"/>
  <c r="F26" i="52"/>
  <c r="E27" i="52"/>
  <c r="G27" i="52" s="1"/>
  <c r="F25" i="52"/>
  <c r="F24" i="52"/>
  <c r="G33" i="52"/>
  <c r="F33" i="52"/>
  <c r="G32" i="52"/>
  <c r="F32" i="52"/>
  <c r="G31" i="52"/>
  <c r="F31" i="52"/>
  <c r="F29" i="52" s="1"/>
  <c r="G30" i="52"/>
  <c r="F30" i="52"/>
  <c r="E29" i="52"/>
  <c r="D29" i="52"/>
  <c r="A29" i="52"/>
  <c r="G28" i="52"/>
  <c r="F28" i="52"/>
  <c r="G26" i="52"/>
  <c r="G25" i="52"/>
  <c r="G24" i="52"/>
  <c r="H23" i="52"/>
  <c r="H22" i="52"/>
  <c r="I22" i="52" s="1"/>
  <c r="H21" i="52"/>
  <c r="H20" i="52"/>
  <c r="I20" i="52" s="1"/>
  <c r="G19" i="52"/>
  <c r="F19" i="52"/>
  <c r="C19" i="52"/>
  <c r="H19" i="52" s="1"/>
  <c r="F42" i="50"/>
  <c r="G36" i="50"/>
  <c r="D34" i="50"/>
  <c r="E27" i="50"/>
  <c r="G27" i="50" s="1"/>
  <c r="G33" i="50"/>
  <c r="F33" i="50"/>
  <c r="G32" i="50"/>
  <c r="F32" i="50"/>
  <c r="G31" i="50"/>
  <c r="F31" i="50"/>
  <c r="G30" i="50"/>
  <c r="F30" i="50"/>
  <c r="F29" i="50" s="1"/>
  <c r="E29" i="50"/>
  <c r="D29" i="50"/>
  <c r="G28" i="50"/>
  <c r="G26" i="50"/>
  <c r="F26" i="50"/>
  <c r="G25" i="50"/>
  <c r="F25" i="50"/>
  <c r="G24" i="50"/>
  <c r="F24" i="50"/>
  <c r="H23" i="50"/>
  <c r="H22" i="50"/>
  <c r="H21" i="50"/>
  <c r="H20" i="50"/>
  <c r="G19" i="50"/>
  <c r="F19" i="50"/>
  <c r="C19" i="50"/>
  <c r="H19" i="50" s="1"/>
  <c r="G36" i="49"/>
  <c r="H20" i="49"/>
  <c r="H21" i="49"/>
  <c r="H22" i="49"/>
  <c r="H23" i="49"/>
  <c r="G33" i="49"/>
  <c r="F33" i="49"/>
  <c r="G32" i="49"/>
  <c r="F32" i="49"/>
  <c r="G31" i="49"/>
  <c r="F31" i="49"/>
  <c r="G30" i="49"/>
  <c r="F30" i="49"/>
  <c r="E29" i="49"/>
  <c r="D29" i="49"/>
  <c r="G28" i="49"/>
  <c r="G27" i="49"/>
  <c r="G26" i="49"/>
  <c r="F26" i="49"/>
  <c r="G25" i="49"/>
  <c r="F25" i="49"/>
  <c r="G24" i="49"/>
  <c r="F24" i="49"/>
  <c r="G19" i="49"/>
  <c r="F19" i="49"/>
  <c r="C19" i="49"/>
  <c r="H19" i="49" s="1"/>
  <c r="F27" i="51"/>
  <c r="G38" i="51" s="1"/>
  <c r="G33" i="51"/>
  <c r="F33" i="51"/>
  <c r="G32" i="51"/>
  <c r="F32" i="51"/>
  <c r="G31" i="51"/>
  <c r="F31" i="51"/>
  <c r="G30" i="51"/>
  <c r="G29" i="51" s="1"/>
  <c r="F30" i="51"/>
  <c r="E29" i="51"/>
  <c r="D29" i="51"/>
  <c r="A29" i="51"/>
  <c r="G28" i="51"/>
  <c r="F28" i="51"/>
  <c r="G27" i="51"/>
  <c r="G26" i="51"/>
  <c r="G25" i="51"/>
  <c r="F25" i="51"/>
  <c r="G24" i="51"/>
  <c r="F24" i="51"/>
  <c r="H23" i="51"/>
  <c r="H22" i="51"/>
  <c r="H21" i="51"/>
  <c r="H20" i="51"/>
  <c r="G19" i="51"/>
  <c r="F19" i="51"/>
  <c r="C19" i="51"/>
  <c r="H19" i="51" s="1"/>
  <c r="F43" i="48"/>
  <c r="F27" i="48" s="1"/>
  <c r="G38" i="48" s="1"/>
  <c r="G33" i="48"/>
  <c r="F33" i="48"/>
  <c r="G32" i="48"/>
  <c r="F32" i="48"/>
  <c r="G31" i="48"/>
  <c r="F31" i="48"/>
  <c r="G30" i="48"/>
  <c r="F30" i="48"/>
  <c r="E29" i="48"/>
  <c r="D29" i="48"/>
  <c r="A29" i="48"/>
  <c r="G28" i="48"/>
  <c r="F28" i="48"/>
  <c r="G27" i="48"/>
  <c r="G26" i="48"/>
  <c r="G25" i="48"/>
  <c r="F25" i="48"/>
  <c r="G24" i="48"/>
  <c r="F24" i="48"/>
  <c r="H23" i="48"/>
  <c r="H22" i="48"/>
  <c r="H21" i="48"/>
  <c r="H20" i="48"/>
  <c r="G19" i="48"/>
  <c r="F19" i="48"/>
  <c r="C19" i="48"/>
  <c r="H19" i="48" s="1"/>
  <c r="F29" i="49" l="1"/>
  <c r="F28" i="54"/>
  <c r="E28" i="54"/>
  <c r="F42" i="52"/>
  <c r="F27" i="52" s="1"/>
  <c r="G37" i="52" s="1"/>
  <c r="G29" i="52"/>
  <c r="E22" i="52"/>
  <c r="D22" i="52"/>
  <c r="F22" i="52" s="1"/>
  <c r="E20" i="52"/>
  <c r="D20" i="52"/>
  <c r="F20" i="52" s="1"/>
  <c r="I23" i="52"/>
  <c r="I21" i="52"/>
  <c r="I23" i="50"/>
  <c r="I20" i="50"/>
  <c r="D20" i="50" s="1"/>
  <c r="F20" i="50" s="1"/>
  <c r="G29" i="50"/>
  <c r="F27" i="50"/>
  <c r="G37" i="50" s="1"/>
  <c r="E23" i="50"/>
  <c r="D23" i="50"/>
  <c r="F23" i="50" s="1"/>
  <c r="E20" i="50"/>
  <c r="I21" i="50"/>
  <c r="I22" i="50"/>
  <c r="G29" i="49"/>
  <c r="I23" i="51"/>
  <c r="E23" i="51" s="1"/>
  <c r="F29" i="51"/>
  <c r="D23" i="51"/>
  <c r="F23" i="51" s="1"/>
  <c r="I22" i="51"/>
  <c r="I20" i="51"/>
  <c r="I21" i="51"/>
  <c r="I23" i="48"/>
  <c r="I22" i="48"/>
  <c r="D22" i="48" s="1"/>
  <c r="F22" i="48" s="1"/>
  <c r="G29" i="48"/>
  <c r="F29" i="48"/>
  <c r="I20" i="48"/>
  <c r="D20" i="48" s="1"/>
  <c r="F20" i="48" s="1"/>
  <c r="E22" i="48"/>
  <c r="D23" i="48"/>
  <c r="F23" i="48" s="1"/>
  <c r="E23" i="48"/>
  <c r="E20" i="48"/>
  <c r="I21" i="48"/>
  <c r="F43" i="46"/>
  <c r="F27" i="46" s="1"/>
  <c r="G38" i="46" s="1"/>
  <c r="F28" i="46"/>
  <c r="G33" i="46"/>
  <c r="F33" i="46"/>
  <c r="G32" i="46"/>
  <c r="F32" i="46"/>
  <c r="G31" i="46"/>
  <c r="F31" i="46"/>
  <c r="G30" i="46"/>
  <c r="F30" i="46"/>
  <c r="F29" i="46" s="1"/>
  <c r="E29" i="46"/>
  <c r="D29" i="46"/>
  <c r="A29" i="46"/>
  <c r="G28" i="46"/>
  <c r="G27" i="46"/>
  <c r="G26" i="46"/>
  <c r="G25" i="46"/>
  <c r="F25" i="46"/>
  <c r="G24" i="46"/>
  <c r="F24" i="46"/>
  <c r="H23" i="46"/>
  <c r="I23" i="46" s="1"/>
  <c r="H22" i="46"/>
  <c r="H21" i="46"/>
  <c r="H20" i="46"/>
  <c r="G19" i="46"/>
  <c r="F19" i="46"/>
  <c r="C19" i="46"/>
  <c r="H19" i="46" s="1"/>
  <c r="G28" i="54" l="1"/>
  <c r="H28" i="54"/>
  <c r="G20" i="52"/>
  <c r="D21" i="52"/>
  <c r="F21" i="52" s="1"/>
  <c r="E21" i="52"/>
  <c r="D23" i="52"/>
  <c r="F23" i="52" s="1"/>
  <c r="E23" i="52"/>
  <c r="G22" i="52"/>
  <c r="G20" i="50"/>
  <c r="E22" i="50"/>
  <c r="D22" i="50"/>
  <c r="F22" i="50" s="1"/>
  <c r="E21" i="50"/>
  <c r="D21" i="50"/>
  <c r="F21" i="50" s="1"/>
  <c r="G23" i="50"/>
  <c r="D22" i="51"/>
  <c r="F22" i="51" s="1"/>
  <c r="E22" i="51"/>
  <c r="G22" i="51" s="1"/>
  <c r="E21" i="51"/>
  <c r="G21" i="51" s="1"/>
  <c r="D21" i="51"/>
  <c r="F21" i="51" s="1"/>
  <c r="G23" i="51"/>
  <c r="D20" i="51"/>
  <c r="F20" i="51" s="1"/>
  <c r="E20" i="51"/>
  <c r="G20" i="51" s="1"/>
  <c r="D21" i="48"/>
  <c r="F21" i="48" s="1"/>
  <c r="E21" i="48"/>
  <c r="G21" i="48" s="1"/>
  <c r="G20" i="48"/>
  <c r="G22" i="48"/>
  <c r="G23" i="48"/>
  <c r="G29" i="46"/>
  <c r="E23" i="46"/>
  <c r="D23" i="46"/>
  <c r="F23" i="46" s="1"/>
  <c r="I22" i="46"/>
  <c r="I20" i="46"/>
  <c r="I21" i="46"/>
  <c r="G21" i="52" l="1"/>
  <c r="G23" i="52"/>
  <c r="G21" i="50"/>
  <c r="G22" i="50"/>
  <c r="D22" i="46"/>
  <c r="F22" i="46" s="1"/>
  <c r="E22" i="46"/>
  <c r="G22" i="46" s="1"/>
  <c r="E21" i="46"/>
  <c r="D21" i="46"/>
  <c r="F21" i="46" s="1"/>
  <c r="G23" i="46"/>
  <c r="D20" i="46"/>
  <c r="F20" i="46" s="1"/>
  <c r="E20" i="46"/>
  <c r="G20" i="46" l="1"/>
  <c r="G21" i="46"/>
  <c r="G36" i="45" l="1"/>
  <c r="G32" i="45"/>
  <c r="F32" i="45"/>
  <c r="G31" i="45"/>
  <c r="F31" i="45"/>
  <c r="G30" i="45"/>
  <c r="F30" i="45"/>
  <c r="G29" i="45"/>
  <c r="F29" i="45"/>
  <c r="F28" i="45" s="1"/>
  <c r="E28" i="45"/>
  <c r="D28" i="45"/>
  <c r="A28" i="45"/>
  <c r="G27" i="45"/>
  <c r="F27" i="45"/>
  <c r="G26" i="45"/>
  <c r="G25" i="45"/>
  <c r="F25" i="45"/>
  <c r="G24" i="45"/>
  <c r="F24" i="45"/>
  <c r="G23" i="45"/>
  <c r="F23" i="45"/>
  <c r="H22" i="45"/>
  <c r="H21" i="45"/>
  <c r="H20" i="45"/>
  <c r="H19" i="45"/>
  <c r="G18" i="45"/>
  <c r="F18" i="45"/>
  <c r="C18" i="45"/>
  <c r="H18" i="45" s="1"/>
  <c r="I22" i="45" s="1"/>
  <c r="F27" i="44"/>
  <c r="G32" i="44"/>
  <c r="F32" i="44"/>
  <c r="G31" i="44"/>
  <c r="F31" i="44"/>
  <c r="G30" i="44"/>
  <c r="F30" i="44"/>
  <c r="G29" i="44"/>
  <c r="F29" i="44"/>
  <c r="E28" i="44"/>
  <c r="D28" i="44"/>
  <c r="A28" i="44"/>
  <c r="G27" i="44"/>
  <c r="G25" i="44"/>
  <c r="F25" i="44"/>
  <c r="G24" i="44"/>
  <c r="F24" i="44"/>
  <c r="G23" i="44"/>
  <c r="F23" i="44"/>
  <c r="H22" i="44"/>
  <c r="H21" i="44"/>
  <c r="H20" i="44"/>
  <c r="H19" i="44"/>
  <c r="G18" i="44"/>
  <c r="F18" i="44"/>
  <c r="C18" i="44"/>
  <c r="H18" i="44" s="1"/>
  <c r="D34" i="44" l="1"/>
  <c r="I19" i="45"/>
  <c r="I21" i="45"/>
  <c r="D21" i="45" s="1"/>
  <c r="F21" i="45" s="1"/>
  <c r="G28" i="45"/>
  <c r="E19" i="45"/>
  <c r="D19" i="45"/>
  <c r="F19" i="45" s="1"/>
  <c r="E21" i="45"/>
  <c r="D22" i="45"/>
  <c r="F22" i="45" s="1"/>
  <c r="E22" i="45"/>
  <c r="I20" i="45"/>
  <c r="F41" i="44"/>
  <c r="F26" i="44" s="1"/>
  <c r="G36" i="44" s="1"/>
  <c r="I22" i="44"/>
  <c r="I19" i="44"/>
  <c r="E19" i="44" s="1"/>
  <c r="I20" i="44"/>
  <c r="D20" i="44" s="1"/>
  <c r="F20" i="44" s="1"/>
  <c r="I21" i="44"/>
  <c r="E21" i="44" s="1"/>
  <c r="F28" i="44"/>
  <c r="G28" i="44"/>
  <c r="E20" i="44"/>
  <c r="D21" i="44"/>
  <c r="F21" i="44" s="1"/>
  <c r="E22" i="44"/>
  <c r="D22" i="44"/>
  <c r="F22" i="44" s="1"/>
  <c r="G26" i="44"/>
  <c r="I20" i="43"/>
  <c r="E20" i="43" s="1"/>
  <c r="G33" i="43"/>
  <c r="F33" i="43"/>
  <c r="G32" i="43"/>
  <c r="F32" i="43"/>
  <c r="G31" i="43"/>
  <c r="F31" i="43"/>
  <c r="G30" i="43"/>
  <c r="F30" i="43"/>
  <c r="E29" i="43"/>
  <c r="D29" i="43"/>
  <c r="G28" i="43"/>
  <c r="G27" i="43"/>
  <c r="G26" i="43"/>
  <c r="F26" i="43"/>
  <c r="G25" i="43"/>
  <c r="F25" i="43"/>
  <c r="G24" i="43"/>
  <c r="F24" i="43"/>
  <c r="H23" i="43"/>
  <c r="H22" i="43"/>
  <c r="H21" i="43"/>
  <c r="H20" i="43"/>
  <c r="H19" i="43"/>
  <c r="I23" i="43" s="1"/>
  <c r="G19" i="43"/>
  <c r="F19" i="43"/>
  <c r="C19" i="43"/>
  <c r="F28" i="42"/>
  <c r="E27" i="42"/>
  <c r="H20" i="42"/>
  <c r="H21" i="42"/>
  <c r="H22" i="42"/>
  <c r="H23" i="42"/>
  <c r="C19" i="42"/>
  <c r="H19" i="42" s="1"/>
  <c r="F42" i="35"/>
  <c r="F27" i="35" s="1"/>
  <c r="G37" i="35" s="1"/>
  <c r="F42" i="37"/>
  <c r="G36" i="37"/>
  <c r="G33" i="37"/>
  <c r="F33" i="37"/>
  <c r="G32" i="37"/>
  <c r="F32" i="37"/>
  <c r="G31" i="37"/>
  <c r="F31" i="37"/>
  <c r="G30" i="37"/>
  <c r="F30" i="37"/>
  <c r="E29" i="37"/>
  <c r="D29" i="37"/>
  <c r="G28" i="37"/>
  <c r="G27" i="37"/>
  <c r="G26" i="37"/>
  <c r="F26" i="37"/>
  <c r="G25" i="37"/>
  <c r="F25" i="37"/>
  <c r="G24" i="37"/>
  <c r="F24" i="37"/>
  <c r="H23" i="37"/>
  <c r="H22" i="37"/>
  <c r="I22" i="37" s="1"/>
  <c r="H21" i="37"/>
  <c r="H20" i="37"/>
  <c r="H19" i="37"/>
  <c r="I23" i="37" s="1"/>
  <c r="G19" i="37"/>
  <c r="F19" i="37"/>
  <c r="C19" i="37"/>
  <c r="F27" i="36"/>
  <c r="G37" i="36" s="1"/>
  <c r="G36" i="36"/>
  <c r="G33" i="36"/>
  <c r="F33" i="36"/>
  <c r="G32" i="36"/>
  <c r="F32" i="36"/>
  <c r="G31" i="36"/>
  <c r="F31" i="36"/>
  <c r="G30" i="36"/>
  <c r="F30" i="36"/>
  <c r="E29" i="36"/>
  <c r="D29" i="36"/>
  <c r="D34" i="36" s="1"/>
  <c r="G28" i="36"/>
  <c r="G27" i="36"/>
  <c r="G26" i="36"/>
  <c r="F26" i="36"/>
  <c r="G25" i="36"/>
  <c r="F25" i="36"/>
  <c r="G24" i="36"/>
  <c r="F24" i="36"/>
  <c r="H23" i="36"/>
  <c r="H22" i="36"/>
  <c r="H21" i="36"/>
  <c r="H20" i="36"/>
  <c r="G19" i="36"/>
  <c r="F19" i="36"/>
  <c r="C19" i="36"/>
  <c r="H19" i="36" s="1"/>
  <c r="G33" i="35"/>
  <c r="F33" i="35"/>
  <c r="G32" i="35"/>
  <c r="F32" i="35"/>
  <c r="G31" i="35"/>
  <c r="F31" i="35"/>
  <c r="G30" i="35"/>
  <c r="F30" i="35"/>
  <c r="E29" i="35"/>
  <c r="D29" i="35"/>
  <c r="D34" i="35" s="1"/>
  <c r="G28" i="35"/>
  <c r="G27" i="35"/>
  <c r="G26" i="35"/>
  <c r="F26" i="35"/>
  <c r="G25" i="35"/>
  <c r="F25" i="35"/>
  <c r="G24" i="35"/>
  <c r="H23" i="35"/>
  <c r="H22" i="35"/>
  <c r="H21" i="35"/>
  <c r="H20" i="35"/>
  <c r="G19" i="35"/>
  <c r="F19" i="35"/>
  <c r="C19" i="35"/>
  <c r="H19" i="35" s="1"/>
  <c r="F42" i="34"/>
  <c r="F27" i="34" s="1"/>
  <c r="G37" i="34" s="1"/>
  <c r="G36" i="34"/>
  <c r="H20" i="34"/>
  <c r="H21" i="34"/>
  <c r="H22" i="34"/>
  <c r="H23" i="34"/>
  <c r="H19" i="34"/>
  <c r="G33" i="34"/>
  <c r="F33" i="34"/>
  <c r="G32" i="34"/>
  <c r="F32" i="34"/>
  <c r="G31" i="34"/>
  <c r="F31" i="34"/>
  <c r="G30" i="34"/>
  <c r="F30" i="34"/>
  <c r="E29" i="34"/>
  <c r="D29" i="34"/>
  <c r="G28" i="34"/>
  <c r="G27" i="34"/>
  <c r="G26" i="34"/>
  <c r="F26" i="34"/>
  <c r="G25" i="34"/>
  <c r="F25" i="34"/>
  <c r="G24" i="34"/>
  <c r="G19" i="34"/>
  <c r="F19" i="34"/>
  <c r="C19" i="34"/>
  <c r="F42" i="32"/>
  <c r="F27" i="32" s="1"/>
  <c r="G37" i="32" s="1"/>
  <c r="G36" i="32"/>
  <c r="G33" i="32"/>
  <c r="F33" i="32"/>
  <c r="G32" i="32"/>
  <c r="F32" i="32"/>
  <c r="G31" i="32"/>
  <c r="F31" i="32"/>
  <c r="G30" i="32"/>
  <c r="G29" i="32" s="1"/>
  <c r="F30" i="32"/>
  <c r="F29" i="32" s="1"/>
  <c r="E29" i="32"/>
  <c r="D29" i="32"/>
  <c r="G28" i="32"/>
  <c r="G27" i="32"/>
  <c r="G26" i="32"/>
  <c r="F26" i="32"/>
  <c r="G25" i="32"/>
  <c r="F25" i="32"/>
  <c r="G24" i="32"/>
  <c r="F24" i="32"/>
  <c r="H23" i="32"/>
  <c r="H22" i="32"/>
  <c r="H21" i="32"/>
  <c r="H20" i="32"/>
  <c r="G19" i="32"/>
  <c r="F19" i="32"/>
  <c r="C19" i="32"/>
  <c r="H19" i="32" s="1"/>
  <c r="F43" i="31"/>
  <c r="F27" i="31" s="1"/>
  <c r="G37" i="31" s="1"/>
  <c r="E29" i="31"/>
  <c r="D29" i="31"/>
  <c r="G36" i="29"/>
  <c r="G36" i="31"/>
  <c r="H20" i="31"/>
  <c r="H21" i="31"/>
  <c r="H22" i="31"/>
  <c r="H23" i="31"/>
  <c r="G33" i="31"/>
  <c r="F33" i="31"/>
  <c r="G32" i="31"/>
  <c r="F32" i="31"/>
  <c r="G31" i="31"/>
  <c r="F31" i="31"/>
  <c r="G30" i="31"/>
  <c r="F30" i="31"/>
  <c r="G28" i="31"/>
  <c r="G27" i="31"/>
  <c r="G26" i="31"/>
  <c r="F26" i="31"/>
  <c r="G25" i="31"/>
  <c r="F25" i="31"/>
  <c r="G24" i="31"/>
  <c r="G19" i="31"/>
  <c r="F19" i="31"/>
  <c r="C19" i="31"/>
  <c r="H19" i="31" s="1"/>
  <c r="F24" i="30"/>
  <c r="F27" i="30"/>
  <c r="G37" i="30" s="1"/>
  <c r="G33" i="30"/>
  <c r="F33" i="30"/>
  <c r="G32" i="30"/>
  <c r="F32" i="30"/>
  <c r="G31" i="30"/>
  <c r="F31" i="30"/>
  <c r="G30" i="30"/>
  <c r="F30" i="30"/>
  <c r="E29" i="30"/>
  <c r="D29" i="30"/>
  <c r="G28" i="30"/>
  <c r="G27" i="30"/>
  <c r="G26" i="30"/>
  <c r="F26" i="30"/>
  <c r="G25" i="30"/>
  <c r="F25" i="30"/>
  <c r="G24" i="30"/>
  <c r="H23" i="30"/>
  <c r="H22" i="30"/>
  <c r="H21" i="30"/>
  <c r="H20" i="30"/>
  <c r="G19" i="30"/>
  <c r="F19" i="30"/>
  <c r="C19" i="30"/>
  <c r="H19" i="30" s="1"/>
  <c r="F27" i="29"/>
  <c r="G37" i="29" s="1"/>
  <c r="G33" i="29"/>
  <c r="F33" i="29"/>
  <c r="G32" i="29"/>
  <c r="F32" i="29"/>
  <c r="G31" i="29"/>
  <c r="F31" i="29"/>
  <c r="G30" i="29"/>
  <c r="F30" i="29"/>
  <c r="E29" i="29"/>
  <c r="D29" i="29"/>
  <c r="D34" i="29" s="1"/>
  <c r="G28" i="29"/>
  <c r="G27" i="29"/>
  <c r="G26" i="29"/>
  <c r="F26" i="29"/>
  <c r="G25" i="29"/>
  <c r="F25" i="29"/>
  <c r="G24" i="29"/>
  <c r="H23" i="29"/>
  <c r="H22" i="29"/>
  <c r="H21" i="29"/>
  <c r="H20" i="29"/>
  <c r="H19" i="29"/>
  <c r="I23" i="29" s="1"/>
  <c r="G19" i="29"/>
  <c r="F19" i="29"/>
  <c r="C19" i="29"/>
  <c r="G37" i="28"/>
  <c r="F24" i="28"/>
  <c r="G36" i="28"/>
  <c r="G33" i="28"/>
  <c r="F33" i="28"/>
  <c r="G32" i="28"/>
  <c r="F32" i="28"/>
  <c r="G31" i="28"/>
  <c r="F31" i="28"/>
  <c r="G30" i="28"/>
  <c r="F30" i="28"/>
  <c r="E29" i="28"/>
  <c r="D29" i="28"/>
  <c r="G28" i="28"/>
  <c r="G27" i="28"/>
  <c r="G26" i="28"/>
  <c r="F26" i="28"/>
  <c r="G25" i="28"/>
  <c r="F25" i="28"/>
  <c r="G24" i="28"/>
  <c r="H23" i="28"/>
  <c r="H22" i="28"/>
  <c r="I22" i="28" s="1"/>
  <c r="H21" i="28"/>
  <c r="I21" i="28" s="1"/>
  <c r="H20" i="28"/>
  <c r="H19" i="28"/>
  <c r="G19" i="28"/>
  <c r="F19" i="28"/>
  <c r="C19" i="28"/>
  <c r="D29" i="25"/>
  <c r="G36" i="25"/>
  <c r="F43" i="42" l="1"/>
  <c r="F27" i="42" s="1"/>
  <c r="G38" i="42" s="1"/>
  <c r="G22" i="45"/>
  <c r="G21" i="45"/>
  <c r="D20" i="45"/>
  <c r="F20" i="45" s="1"/>
  <c r="E20" i="45"/>
  <c r="G19" i="45"/>
  <c r="G22" i="44"/>
  <c r="G20" i="44"/>
  <c r="D19" i="44"/>
  <c r="F19" i="44" s="1"/>
  <c r="G21" i="44"/>
  <c r="F27" i="43"/>
  <c r="G37" i="43" s="1"/>
  <c r="F29" i="43"/>
  <c r="G29" i="43"/>
  <c r="E23" i="43"/>
  <c r="D23" i="43"/>
  <c r="F23" i="43" s="1"/>
  <c r="I22" i="43"/>
  <c r="I21" i="43"/>
  <c r="F27" i="37"/>
  <c r="G37" i="37" s="1"/>
  <c r="F29" i="37"/>
  <c r="G29" i="37"/>
  <c r="I20" i="37"/>
  <c r="D20" i="37" s="1"/>
  <c r="F20" i="37" s="1"/>
  <c r="E23" i="37"/>
  <c r="D23" i="37"/>
  <c r="F23" i="37" s="1"/>
  <c r="E20" i="37"/>
  <c r="E22" i="37"/>
  <c r="D22" i="37"/>
  <c r="F22" i="37" s="1"/>
  <c r="I21" i="37"/>
  <c r="I21" i="36"/>
  <c r="I23" i="36"/>
  <c r="D23" i="36" s="1"/>
  <c r="F23" i="36" s="1"/>
  <c r="I22" i="36"/>
  <c r="E22" i="36" s="1"/>
  <c r="I20" i="36"/>
  <c r="E20" i="36" s="1"/>
  <c r="G29" i="36"/>
  <c r="F29" i="36"/>
  <c r="D21" i="36"/>
  <c r="F21" i="36" s="1"/>
  <c r="E21" i="36"/>
  <c r="G21" i="36" s="1"/>
  <c r="E23" i="36"/>
  <c r="G23" i="36" s="1"/>
  <c r="F29" i="35"/>
  <c r="I22" i="35"/>
  <c r="D22" i="35" s="1"/>
  <c r="F22" i="35" s="1"/>
  <c r="G29" i="35"/>
  <c r="I21" i="35"/>
  <c r="E21" i="35" s="1"/>
  <c r="I23" i="35"/>
  <c r="D23" i="35" s="1"/>
  <c r="F23" i="35" s="1"/>
  <c r="E22" i="35"/>
  <c r="E23" i="35"/>
  <c r="I20" i="35"/>
  <c r="F29" i="34"/>
  <c r="G29" i="34"/>
  <c r="I22" i="32"/>
  <c r="I20" i="32"/>
  <c r="I21" i="32"/>
  <c r="I23" i="32"/>
  <c r="F29" i="31"/>
  <c r="G29" i="31"/>
  <c r="F29" i="30"/>
  <c r="G29" i="30"/>
  <c r="I20" i="30"/>
  <c r="E20" i="30" s="1"/>
  <c r="I21" i="30"/>
  <c r="I22" i="30"/>
  <c r="I23" i="30"/>
  <c r="E23" i="30" s="1"/>
  <c r="D20" i="30"/>
  <c r="F20" i="30" s="1"/>
  <c r="E21" i="30"/>
  <c r="D21" i="30"/>
  <c r="F21" i="30" s="1"/>
  <c r="E22" i="30"/>
  <c r="D22" i="30"/>
  <c r="F22" i="30" s="1"/>
  <c r="I20" i="29"/>
  <c r="E20" i="29" s="1"/>
  <c r="F29" i="29"/>
  <c r="I22" i="29"/>
  <c r="E22" i="29" s="1"/>
  <c r="G29" i="29"/>
  <c r="D23" i="29"/>
  <c r="F23" i="29" s="1"/>
  <c r="E23" i="29"/>
  <c r="D20" i="29"/>
  <c r="F20" i="29" s="1"/>
  <c r="D22" i="29"/>
  <c r="F22" i="29" s="1"/>
  <c r="I21" i="29"/>
  <c r="D34" i="28"/>
  <c r="I23" i="28"/>
  <c r="F29" i="28"/>
  <c r="I20" i="28"/>
  <c r="D20" i="28" s="1"/>
  <c r="F20" i="28" s="1"/>
  <c r="G29" i="28"/>
  <c r="E21" i="28"/>
  <c r="D21" i="28"/>
  <c r="F21" i="28" s="1"/>
  <c r="E22" i="28"/>
  <c r="G22" i="28" s="1"/>
  <c r="D22" i="28"/>
  <c r="F22" i="28" s="1"/>
  <c r="E23" i="28"/>
  <c r="D23" i="28"/>
  <c r="F23" i="28" s="1"/>
  <c r="E20" i="28"/>
  <c r="F27" i="25"/>
  <c r="G37" i="25" s="1"/>
  <c r="G33" i="25"/>
  <c r="F33" i="25"/>
  <c r="G32" i="25"/>
  <c r="F32" i="25"/>
  <c r="G31" i="25"/>
  <c r="F31" i="25"/>
  <c r="G30" i="25"/>
  <c r="F30" i="25"/>
  <c r="E29" i="25"/>
  <c r="D34" i="25" s="1"/>
  <c r="G28" i="25"/>
  <c r="G27" i="25"/>
  <c r="G26" i="25"/>
  <c r="F26" i="25"/>
  <c r="G25" i="25"/>
  <c r="F25" i="25"/>
  <c r="G24" i="25"/>
  <c r="H23" i="25"/>
  <c r="H22" i="25"/>
  <c r="H21" i="25"/>
  <c r="H20" i="25"/>
  <c r="G19" i="25"/>
  <c r="F19" i="25"/>
  <c r="C19" i="25"/>
  <c r="H19" i="25" s="1"/>
  <c r="F32" i="24"/>
  <c r="F42" i="24"/>
  <c r="F27" i="24" s="1"/>
  <c r="G37" i="24" s="1"/>
  <c r="G36" i="24"/>
  <c r="G33" i="24"/>
  <c r="F33" i="24"/>
  <c r="G32" i="24"/>
  <c r="G31" i="24"/>
  <c r="F31" i="24"/>
  <c r="G30" i="24"/>
  <c r="F30" i="24"/>
  <c r="E29" i="24"/>
  <c r="D29" i="24"/>
  <c r="G28" i="24"/>
  <c r="G27" i="24"/>
  <c r="G26" i="24"/>
  <c r="F26" i="24"/>
  <c r="G25" i="24"/>
  <c r="F25" i="24"/>
  <c r="G24" i="24"/>
  <c r="H23" i="24"/>
  <c r="H22" i="24"/>
  <c r="H21" i="24"/>
  <c r="H20" i="24"/>
  <c r="G19" i="24"/>
  <c r="F19" i="24"/>
  <c r="C19" i="24"/>
  <c r="H19" i="24" s="1"/>
  <c r="D29" i="23"/>
  <c r="D34" i="23" s="1"/>
  <c r="F42" i="23"/>
  <c r="F27" i="23" s="1"/>
  <c r="G37" i="23" s="1"/>
  <c r="G33" i="23"/>
  <c r="F33" i="23"/>
  <c r="G32" i="23"/>
  <c r="F32" i="23"/>
  <c r="G31" i="23"/>
  <c r="F31" i="23"/>
  <c r="G30" i="23"/>
  <c r="F30" i="23"/>
  <c r="E29" i="23"/>
  <c r="G28" i="23"/>
  <c r="G27" i="23"/>
  <c r="G26" i="23"/>
  <c r="F26" i="23"/>
  <c r="G25" i="23"/>
  <c r="F25" i="23"/>
  <c r="G24" i="23"/>
  <c r="H23" i="23"/>
  <c r="H22" i="23"/>
  <c r="H21" i="23"/>
  <c r="H20" i="23"/>
  <c r="G19" i="23"/>
  <c r="F19" i="23"/>
  <c r="C19" i="23"/>
  <c r="H19" i="23" s="1"/>
  <c r="F27" i="22"/>
  <c r="G37" i="22" s="1"/>
  <c r="G24" i="22"/>
  <c r="G33" i="22"/>
  <c r="F33" i="22"/>
  <c r="G32" i="22"/>
  <c r="F32" i="22"/>
  <c r="G31" i="22"/>
  <c r="F31" i="22"/>
  <c r="G30" i="22"/>
  <c r="F30" i="22"/>
  <c r="E29" i="22"/>
  <c r="D29" i="22"/>
  <c r="G28" i="22"/>
  <c r="G27" i="22"/>
  <c r="G26" i="22"/>
  <c r="F26" i="22"/>
  <c r="G25" i="22"/>
  <c r="F25" i="22"/>
  <c r="H23" i="22"/>
  <c r="H22" i="22"/>
  <c r="I22" i="22" s="1"/>
  <c r="H21" i="22"/>
  <c r="H20" i="22"/>
  <c r="H19" i="22"/>
  <c r="G19" i="22"/>
  <c r="F19" i="22"/>
  <c r="C19" i="22"/>
  <c r="F27" i="21"/>
  <c r="G37" i="21" s="1"/>
  <c r="G33" i="21"/>
  <c r="F33" i="21"/>
  <c r="G32" i="21"/>
  <c r="F32" i="21"/>
  <c r="G31" i="21"/>
  <c r="F31" i="21"/>
  <c r="G30" i="21"/>
  <c r="F30" i="21"/>
  <c r="E29" i="21"/>
  <c r="D29" i="21"/>
  <c r="D34" i="21" s="1"/>
  <c r="G28" i="21"/>
  <c r="G27" i="21"/>
  <c r="G26" i="21"/>
  <c r="F26" i="21"/>
  <c r="G25" i="21"/>
  <c r="F25" i="21"/>
  <c r="G24" i="21"/>
  <c r="H23" i="21"/>
  <c r="H22" i="21"/>
  <c r="H21" i="21"/>
  <c r="H20" i="21"/>
  <c r="G19" i="21"/>
  <c r="F19" i="21"/>
  <c r="C19" i="21"/>
  <c r="H19" i="21" s="1"/>
  <c r="F27" i="20"/>
  <c r="G33" i="20"/>
  <c r="F33" i="20"/>
  <c r="G32" i="20"/>
  <c r="F32" i="20"/>
  <c r="G31" i="20"/>
  <c r="F31" i="20"/>
  <c r="G30" i="20"/>
  <c r="F30" i="20"/>
  <c r="F29" i="20" s="1"/>
  <c r="E29" i="20"/>
  <c r="D29" i="20"/>
  <c r="G28" i="20"/>
  <c r="G27" i="20"/>
  <c r="G26" i="20"/>
  <c r="F26" i="20"/>
  <c r="G25" i="20"/>
  <c r="F25" i="20"/>
  <c r="G24" i="20"/>
  <c r="H23" i="20"/>
  <c r="H22" i="20"/>
  <c r="H21" i="20"/>
  <c r="H20" i="20"/>
  <c r="G19" i="20"/>
  <c r="F19" i="20"/>
  <c r="C19" i="20"/>
  <c r="H19" i="20" s="1"/>
  <c r="I21" i="20" s="1"/>
  <c r="G36" i="19"/>
  <c r="G19" i="19"/>
  <c r="G33" i="19"/>
  <c r="F33" i="19"/>
  <c r="G32" i="19"/>
  <c r="F32" i="19"/>
  <c r="G31" i="19"/>
  <c r="F31" i="19"/>
  <c r="G30" i="19"/>
  <c r="F30" i="19"/>
  <c r="E29" i="19"/>
  <c r="D29" i="19"/>
  <c r="G28" i="19"/>
  <c r="G27" i="19"/>
  <c r="F42" i="19"/>
  <c r="F27" i="19" s="1"/>
  <c r="G37" i="19" s="1"/>
  <c r="G26" i="19"/>
  <c r="F26" i="19"/>
  <c r="G25" i="19"/>
  <c r="F25" i="19"/>
  <c r="G24" i="19"/>
  <c r="H23" i="19"/>
  <c r="H22" i="19"/>
  <c r="H21" i="19"/>
  <c r="H20" i="19"/>
  <c r="F19" i="19"/>
  <c r="C19" i="19"/>
  <c r="H19" i="19" s="1"/>
  <c r="I23" i="19" s="1"/>
  <c r="F27" i="18"/>
  <c r="G37" i="18" s="1"/>
  <c r="D29" i="18"/>
  <c r="E27" i="18"/>
  <c r="H20" i="18"/>
  <c r="H21" i="18"/>
  <c r="H22" i="18"/>
  <c r="H23" i="18"/>
  <c r="G33" i="18"/>
  <c r="F33" i="18"/>
  <c r="G32" i="18"/>
  <c r="F32" i="18"/>
  <c r="G31" i="18"/>
  <c r="F31" i="18"/>
  <c r="G30" i="18"/>
  <c r="F30" i="18"/>
  <c r="E29" i="18"/>
  <c r="G28" i="18"/>
  <c r="G27" i="18"/>
  <c r="G26" i="18"/>
  <c r="F26" i="18"/>
  <c r="G25" i="18"/>
  <c r="F25" i="18"/>
  <c r="G24" i="18"/>
  <c r="G19" i="18"/>
  <c r="F19" i="18"/>
  <c r="C19" i="18"/>
  <c r="H19" i="18" s="1"/>
  <c r="I22" i="20" l="1"/>
  <c r="D34" i="20"/>
  <c r="D20" i="36"/>
  <c r="F20" i="36" s="1"/>
  <c r="F29" i="25"/>
  <c r="G20" i="45"/>
  <c r="G19" i="44"/>
  <c r="D20" i="43"/>
  <c r="F20" i="43" s="1"/>
  <c r="G23" i="43"/>
  <c r="E22" i="43"/>
  <c r="D22" i="43"/>
  <c r="F22" i="43" s="1"/>
  <c r="E21" i="43"/>
  <c r="D21" i="43"/>
  <c r="F21" i="43" s="1"/>
  <c r="G20" i="37"/>
  <c r="E21" i="37"/>
  <c r="D21" i="37"/>
  <c r="F21" i="37" s="1"/>
  <c r="G22" i="37"/>
  <c r="G23" i="37"/>
  <c r="D22" i="36"/>
  <c r="F22" i="36" s="1"/>
  <c r="G20" i="36"/>
  <c r="G22" i="36"/>
  <c r="D21" i="35"/>
  <c r="F21" i="35" s="1"/>
  <c r="D20" i="35"/>
  <c r="F20" i="35" s="1"/>
  <c r="E20" i="35"/>
  <c r="G23" i="35"/>
  <c r="G22" i="35"/>
  <c r="E21" i="32"/>
  <c r="D21" i="32"/>
  <c r="F21" i="32" s="1"/>
  <c r="D20" i="32"/>
  <c r="F20" i="32" s="1"/>
  <c r="E20" i="32"/>
  <c r="D22" i="32"/>
  <c r="F22" i="32" s="1"/>
  <c r="E22" i="32"/>
  <c r="G22" i="32" s="1"/>
  <c r="E23" i="32"/>
  <c r="D23" i="32"/>
  <c r="F23" i="32" s="1"/>
  <c r="G20" i="30"/>
  <c r="D23" i="30"/>
  <c r="F23" i="30" s="1"/>
  <c r="G22" i="30"/>
  <c r="G21" i="30"/>
  <c r="G22" i="29"/>
  <c r="G23" i="29"/>
  <c r="D21" i="29"/>
  <c r="F21" i="29" s="1"/>
  <c r="E21" i="29"/>
  <c r="G20" i="29"/>
  <c r="G20" i="28"/>
  <c r="G23" i="28"/>
  <c r="G21" i="28"/>
  <c r="G29" i="25"/>
  <c r="I20" i="25"/>
  <c r="D20" i="25" s="1"/>
  <c r="F20" i="25" s="1"/>
  <c r="I22" i="25"/>
  <c r="D22" i="25" s="1"/>
  <c r="F22" i="25" s="1"/>
  <c r="I23" i="25"/>
  <c r="E23" i="25" s="1"/>
  <c r="I21" i="25"/>
  <c r="D21" i="25" s="1"/>
  <c r="F21" i="25" s="1"/>
  <c r="E20" i="25"/>
  <c r="F29" i="24"/>
  <c r="G29" i="24"/>
  <c r="D34" i="24"/>
  <c r="I23" i="24"/>
  <c r="I21" i="24"/>
  <c r="I22" i="24"/>
  <c r="I20" i="24"/>
  <c r="F29" i="23"/>
  <c r="I23" i="23"/>
  <c r="I22" i="23"/>
  <c r="E22" i="23" s="1"/>
  <c r="I20" i="23"/>
  <c r="D20" i="23" s="1"/>
  <c r="F20" i="23" s="1"/>
  <c r="G29" i="23"/>
  <c r="E23" i="23"/>
  <c r="D23" i="23"/>
  <c r="F23" i="23" s="1"/>
  <c r="E20" i="23"/>
  <c r="I21" i="23"/>
  <c r="F29" i="22"/>
  <c r="I23" i="22"/>
  <c r="D23" i="22" s="1"/>
  <c r="F23" i="22" s="1"/>
  <c r="I20" i="22"/>
  <c r="D20" i="22" s="1"/>
  <c r="F20" i="22" s="1"/>
  <c r="I21" i="22"/>
  <c r="D21" i="22" s="1"/>
  <c r="F21" i="22" s="1"/>
  <c r="G29" i="22"/>
  <c r="E23" i="22"/>
  <c r="E21" i="22"/>
  <c r="E22" i="22"/>
  <c r="D22" i="22"/>
  <c r="F22" i="22" s="1"/>
  <c r="E20" i="22"/>
  <c r="I22" i="21"/>
  <c r="E22" i="21" s="1"/>
  <c r="F29" i="21"/>
  <c r="G29" i="21"/>
  <c r="I21" i="21"/>
  <c r="D21" i="21" s="1"/>
  <c r="F21" i="21" s="1"/>
  <c r="I23" i="21"/>
  <c r="D23" i="21" s="1"/>
  <c r="F23" i="21" s="1"/>
  <c r="E21" i="21"/>
  <c r="D22" i="21"/>
  <c r="F22" i="21" s="1"/>
  <c r="E23" i="21"/>
  <c r="I20" i="21"/>
  <c r="I20" i="20"/>
  <c r="D20" i="20" s="1"/>
  <c r="F20" i="20" s="1"/>
  <c r="G29" i="20"/>
  <c r="D22" i="20"/>
  <c r="F22" i="20" s="1"/>
  <c r="E22" i="20"/>
  <c r="D21" i="20"/>
  <c r="F21" i="20" s="1"/>
  <c r="E21" i="20"/>
  <c r="I23" i="20"/>
  <c r="I22" i="19"/>
  <c r="I20" i="19"/>
  <c r="E20" i="19" s="1"/>
  <c r="G29" i="19"/>
  <c r="F29" i="19"/>
  <c r="E22" i="19"/>
  <c r="D22" i="19"/>
  <c r="F22" i="19" s="1"/>
  <c r="D23" i="19"/>
  <c r="F23" i="19" s="1"/>
  <c r="E23" i="19"/>
  <c r="D20" i="19"/>
  <c r="F20" i="19" s="1"/>
  <c r="I21" i="19"/>
  <c r="F29" i="18"/>
  <c r="G29" i="18"/>
  <c r="E27" i="17"/>
  <c r="F26" i="17"/>
  <c r="F30" i="17"/>
  <c r="H20" i="17"/>
  <c r="H21" i="17"/>
  <c r="H22" i="17"/>
  <c r="H23" i="17"/>
  <c r="C19" i="17"/>
  <c r="H19" i="17" s="1"/>
  <c r="F26" i="15"/>
  <c r="H20" i="15"/>
  <c r="H21" i="15"/>
  <c r="H22" i="15"/>
  <c r="H23" i="15"/>
  <c r="D29" i="15"/>
  <c r="E29" i="15"/>
  <c r="D35" i="15" s="1"/>
  <c r="C19" i="15"/>
  <c r="H19" i="15" s="1"/>
  <c r="F32" i="14"/>
  <c r="F26" i="14"/>
  <c r="H20" i="14"/>
  <c r="H21" i="14"/>
  <c r="H22" i="14"/>
  <c r="H23" i="14"/>
  <c r="C19" i="14"/>
  <c r="H19" i="14" s="1"/>
  <c r="E27" i="13"/>
  <c r="F26" i="13"/>
  <c r="H20" i="13"/>
  <c r="I20" i="13" s="1"/>
  <c r="H21" i="13"/>
  <c r="H22" i="13"/>
  <c r="H23" i="13"/>
  <c r="H19" i="13"/>
  <c r="C19" i="13"/>
  <c r="F43" i="12"/>
  <c r="F26" i="12"/>
  <c r="F31" i="12"/>
  <c r="F30" i="12"/>
  <c r="H20" i="12"/>
  <c r="H21" i="12"/>
  <c r="H22" i="12"/>
  <c r="H23" i="12"/>
  <c r="H19" i="12"/>
  <c r="C19" i="12"/>
  <c r="F27" i="11"/>
  <c r="D29" i="11"/>
  <c r="F31" i="11"/>
  <c r="F32" i="11"/>
  <c r="F33" i="11"/>
  <c r="F30" i="11"/>
  <c r="H20" i="11"/>
  <c r="H21" i="11"/>
  <c r="H22" i="11"/>
  <c r="H23" i="11"/>
  <c r="C19" i="11"/>
  <c r="H19" i="11" s="1"/>
  <c r="G37" i="10"/>
  <c r="F26" i="10"/>
  <c r="H20" i="10"/>
  <c r="H21" i="10"/>
  <c r="H22" i="10"/>
  <c r="H23" i="10"/>
  <c r="C19" i="10"/>
  <c r="H19" i="10" s="1"/>
  <c r="E29" i="8"/>
  <c r="H20" i="8"/>
  <c r="H21" i="8"/>
  <c r="H22" i="8"/>
  <c r="H23" i="8"/>
  <c r="C19" i="8"/>
  <c r="H19" i="8" s="1"/>
  <c r="F30" i="9"/>
  <c r="F31" i="9"/>
  <c r="F26" i="9"/>
  <c r="F25" i="9"/>
  <c r="H20" i="9"/>
  <c r="H21" i="9"/>
  <c r="H22" i="9"/>
  <c r="H23" i="9"/>
  <c r="C19" i="9"/>
  <c r="H19" i="9" s="1"/>
  <c r="G37" i="7"/>
  <c r="F26" i="7"/>
  <c r="H20" i="7"/>
  <c r="H21" i="7"/>
  <c r="H22" i="7"/>
  <c r="H23" i="7"/>
  <c r="H19" i="7"/>
  <c r="C19" i="7"/>
  <c r="F19" i="7"/>
  <c r="G19" i="7"/>
  <c r="G24" i="7"/>
  <c r="F25" i="7"/>
  <c r="G25" i="7"/>
  <c r="G26" i="7"/>
  <c r="G27" i="7"/>
  <c r="G28" i="7"/>
  <c r="D29" i="7"/>
  <c r="E29" i="7"/>
  <c r="F30" i="7"/>
  <c r="G30" i="7"/>
  <c r="F31" i="7"/>
  <c r="G31" i="7"/>
  <c r="F32" i="7"/>
  <c r="G32" i="7"/>
  <c r="F33" i="7"/>
  <c r="G33" i="7"/>
  <c r="E20" i="20" l="1"/>
  <c r="E21" i="25"/>
  <c r="G21" i="25" s="1"/>
  <c r="I20" i="9"/>
  <c r="I21" i="9"/>
  <c r="G21" i="29"/>
  <c r="I22" i="13"/>
  <c r="I21" i="13"/>
  <c r="G20" i="43"/>
  <c r="G22" i="43"/>
  <c r="G21" i="43"/>
  <c r="G21" i="37"/>
  <c r="G21" i="35"/>
  <c r="G20" i="35"/>
  <c r="G23" i="32"/>
  <c r="G21" i="32"/>
  <c r="G20" i="32"/>
  <c r="G23" i="30"/>
  <c r="E22" i="25"/>
  <c r="G22" i="25" s="1"/>
  <c r="G20" i="25"/>
  <c r="D23" i="25"/>
  <c r="F23" i="25" s="1"/>
  <c r="D22" i="24"/>
  <c r="F22" i="24" s="1"/>
  <c r="E22" i="24"/>
  <c r="E21" i="24"/>
  <c r="G21" i="24" s="1"/>
  <c r="D21" i="24"/>
  <c r="F21" i="24" s="1"/>
  <c r="E23" i="24"/>
  <c r="D23" i="24"/>
  <c r="F23" i="24" s="1"/>
  <c r="D20" i="24"/>
  <c r="F20" i="24" s="1"/>
  <c r="E20" i="24"/>
  <c r="D22" i="23"/>
  <c r="F22" i="23" s="1"/>
  <c r="G22" i="23"/>
  <c r="G23" i="23"/>
  <c r="D21" i="23"/>
  <c r="F21" i="23" s="1"/>
  <c r="E21" i="23"/>
  <c r="G20" i="23"/>
  <c r="G20" i="22"/>
  <c r="G21" i="22"/>
  <c r="G22" i="22"/>
  <c r="G23" i="22"/>
  <c r="D20" i="21"/>
  <c r="F20" i="21" s="1"/>
  <c r="E20" i="21"/>
  <c r="G20" i="21" s="1"/>
  <c r="G23" i="21"/>
  <c r="G21" i="21"/>
  <c r="G22" i="21"/>
  <c r="G22" i="20"/>
  <c r="E23" i="20"/>
  <c r="D23" i="20"/>
  <c r="F23" i="20" s="1"/>
  <c r="G20" i="20"/>
  <c r="G21" i="20"/>
  <c r="D21" i="19"/>
  <c r="F21" i="19" s="1"/>
  <c r="E21" i="19"/>
  <c r="G20" i="19"/>
  <c r="G22" i="19"/>
  <c r="G23" i="19"/>
  <c r="G29" i="7"/>
  <c r="F29" i="7"/>
  <c r="F43" i="6"/>
  <c r="F31" i="6"/>
  <c r="F32" i="6"/>
  <c r="F33" i="6"/>
  <c r="F30" i="6"/>
  <c r="F29" i="6"/>
  <c r="F24" i="6"/>
  <c r="F25" i="6"/>
  <c r="F26" i="6"/>
  <c r="H20" i="6"/>
  <c r="H21" i="6"/>
  <c r="H22" i="6"/>
  <c r="H23" i="6"/>
  <c r="C19" i="6"/>
  <c r="H19" i="6" s="1"/>
  <c r="H19" i="5"/>
  <c r="H20" i="5"/>
  <c r="H21" i="5"/>
  <c r="H22" i="5"/>
  <c r="H18" i="5"/>
  <c r="F25" i="5"/>
  <c r="C18" i="5"/>
  <c r="F26" i="3"/>
  <c r="F26" i="4"/>
  <c r="H20" i="4"/>
  <c r="H21" i="4"/>
  <c r="H22" i="4"/>
  <c r="H23" i="4"/>
  <c r="I23" i="4" s="1"/>
  <c r="C19" i="4"/>
  <c r="H19" i="4" s="1"/>
  <c r="G23" i="25" l="1"/>
  <c r="G22" i="24"/>
  <c r="G23" i="24"/>
  <c r="G20" i="24"/>
  <c r="G21" i="23"/>
  <c r="G23" i="20"/>
  <c r="G21" i="19"/>
  <c r="H23" i="3"/>
  <c r="H22" i="3"/>
  <c r="H21" i="3"/>
  <c r="H19" i="3"/>
  <c r="H20" i="3"/>
  <c r="C19" i="3"/>
  <c r="I20" i="2"/>
  <c r="E29" i="2"/>
  <c r="D29" i="2"/>
  <c r="F33" i="2"/>
  <c r="F25" i="2"/>
  <c r="F26" i="2"/>
  <c r="F27" i="2"/>
  <c r="F28" i="2"/>
  <c r="F30" i="2"/>
  <c r="F31" i="2"/>
  <c r="F32" i="2"/>
  <c r="H23" i="2" l="1"/>
  <c r="H22" i="2"/>
  <c r="H21" i="2"/>
  <c r="H20" i="2"/>
  <c r="C19" i="2"/>
  <c r="H19" i="2" s="1"/>
  <c r="F25" i="1"/>
  <c r="H20" i="1" l="1"/>
  <c r="H21" i="1"/>
  <c r="H22" i="1"/>
  <c r="H19" i="1"/>
  <c r="C18" i="1" l="1"/>
  <c r="H18" i="1" s="1"/>
  <c r="I19" i="1" s="1"/>
  <c r="C28" i="55" l="1"/>
  <c r="I20" i="34"/>
  <c r="I21" i="34"/>
  <c r="I22" i="34"/>
  <c r="I23" i="34"/>
  <c r="F28" i="61"/>
  <c r="G38" i="61" s="1"/>
  <c r="E33" i="55"/>
  <c r="G37" i="17"/>
  <c r="G37" i="15"/>
  <c r="G32" i="55"/>
  <c r="D33" i="55"/>
  <c r="F27" i="49"/>
  <c r="G37" i="49" s="1"/>
  <c r="F27" i="13"/>
  <c r="G38" i="13" s="1"/>
  <c r="F27" i="12"/>
  <c r="G38" i="12" s="1"/>
  <c r="G26" i="5"/>
  <c r="F27" i="3"/>
  <c r="G37" i="3" s="1"/>
  <c r="I20" i="70"/>
  <c r="I19" i="70"/>
  <c r="I18" i="70"/>
  <c r="G36" i="62"/>
  <c r="G31" i="62"/>
  <c r="F31" i="62"/>
  <c r="G30" i="62"/>
  <c r="F30" i="62"/>
  <c r="G29" i="62"/>
  <c r="F29" i="62"/>
  <c r="G28" i="62"/>
  <c r="F28" i="62"/>
  <c r="E27" i="62"/>
  <c r="G26" i="62"/>
  <c r="G25" i="62"/>
  <c r="G24" i="62"/>
  <c r="G23" i="62"/>
  <c r="F23" i="62"/>
  <c r="G22" i="62"/>
  <c r="I21" i="62"/>
  <c r="E21" i="62" s="1"/>
  <c r="I20" i="62"/>
  <c r="E20" i="62" s="1"/>
  <c r="E19" i="62"/>
  <c r="F18" i="62"/>
  <c r="G17" i="62"/>
  <c r="F17" i="62"/>
  <c r="G33" i="54"/>
  <c r="H33" i="54" s="1"/>
  <c r="G19" i="6"/>
  <c r="F27" i="6"/>
  <c r="G38" i="6" s="1"/>
  <c r="D29" i="42"/>
  <c r="A29" i="42"/>
  <c r="D28" i="1"/>
  <c r="F27" i="4"/>
  <c r="G38" i="4" s="1"/>
  <c r="G37" i="12"/>
  <c r="G18" i="61"/>
  <c r="G25" i="5"/>
  <c r="F18" i="61"/>
  <c r="F25" i="61"/>
  <c r="G25" i="61"/>
  <c r="F26" i="61"/>
  <c r="G26" i="61"/>
  <c r="F27" i="61"/>
  <c r="G27" i="61"/>
  <c r="G28" i="61"/>
  <c r="G29" i="61"/>
  <c r="D30" i="61"/>
  <c r="E30" i="61"/>
  <c r="F31" i="61"/>
  <c r="F32" i="61"/>
  <c r="F30" i="61" s="1"/>
  <c r="F33" i="61"/>
  <c r="F34" i="61"/>
  <c r="G31" i="61"/>
  <c r="G32" i="61"/>
  <c r="G33" i="61"/>
  <c r="G34" i="61"/>
  <c r="G37" i="57"/>
  <c r="G37" i="56"/>
  <c r="I25" i="54"/>
  <c r="G34" i="54"/>
  <c r="H34" i="54" s="1"/>
  <c r="G23" i="54"/>
  <c r="H23" i="54" s="1"/>
  <c r="G24" i="54"/>
  <c r="H24" i="54" s="1"/>
  <c r="G29" i="54"/>
  <c r="H29" i="54" s="1"/>
  <c r="G18" i="54"/>
  <c r="D28" i="55"/>
  <c r="E28" i="1"/>
  <c r="G18" i="1"/>
  <c r="I29" i="54"/>
  <c r="I34" i="54"/>
  <c r="F26" i="58"/>
  <c r="G36" i="58" s="1"/>
  <c r="E28" i="56"/>
  <c r="D28" i="56"/>
  <c r="G26" i="54"/>
  <c r="H26" i="54" s="1"/>
  <c r="I38" i="54" s="1"/>
  <c r="F29" i="58"/>
  <c r="F30" i="57"/>
  <c r="F29" i="56"/>
  <c r="F29" i="55"/>
  <c r="F43" i="15"/>
  <c r="F27" i="15" s="1"/>
  <c r="G38" i="15" s="1"/>
  <c r="G38" i="11"/>
  <c r="F27" i="10"/>
  <c r="G38" i="10" s="1"/>
  <c r="F44" i="8"/>
  <c r="F26" i="5"/>
  <c r="G37" i="5" s="1"/>
  <c r="G26" i="3"/>
  <c r="I22" i="1"/>
  <c r="D22" i="1" s="1"/>
  <c r="I21" i="1"/>
  <c r="E21" i="1" s="1"/>
  <c r="I20" i="1"/>
  <c r="D20" i="1" s="1"/>
  <c r="F20" i="1" s="1"/>
  <c r="G32" i="58"/>
  <c r="G28" i="58" s="1"/>
  <c r="F32" i="58"/>
  <c r="G31" i="58"/>
  <c r="F31" i="58"/>
  <c r="G30" i="58"/>
  <c r="F30" i="58"/>
  <c r="G29" i="58"/>
  <c r="E28" i="58"/>
  <c r="D28" i="58"/>
  <c r="C28" i="58"/>
  <c r="G27" i="58"/>
  <c r="G26" i="58"/>
  <c r="G25" i="58"/>
  <c r="F25" i="58"/>
  <c r="G24" i="58"/>
  <c r="F24" i="58"/>
  <c r="G23" i="58"/>
  <c r="F23" i="58"/>
  <c r="G18" i="58"/>
  <c r="F18" i="58"/>
  <c r="C18" i="58"/>
  <c r="H18" i="58" s="1"/>
  <c r="I20" i="58" s="1"/>
  <c r="E20" i="58" s="1"/>
  <c r="G33" i="57"/>
  <c r="F33" i="57"/>
  <c r="G32" i="57"/>
  <c r="F32" i="57"/>
  <c r="G31" i="57"/>
  <c r="F31" i="57"/>
  <c r="G30" i="57"/>
  <c r="G29" i="57" s="1"/>
  <c r="E29" i="57"/>
  <c r="D29" i="57"/>
  <c r="D34" i="57" s="1"/>
  <c r="G28" i="57"/>
  <c r="G27" i="57"/>
  <c r="G26" i="57"/>
  <c r="F26" i="57"/>
  <c r="G25" i="57"/>
  <c r="F25" i="57"/>
  <c r="G24" i="57"/>
  <c r="F24" i="57"/>
  <c r="G19" i="57"/>
  <c r="F19" i="57"/>
  <c r="C19" i="57"/>
  <c r="H19" i="57" s="1"/>
  <c r="I21" i="57" s="1"/>
  <c r="D21" i="57" s="1"/>
  <c r="F21" i="57" s="1"/>
  <c r="G32" i="56"/>
  <c r="F32" i="56"/>
  <c r="G31" i="56"/>
  <c r="F31" i="56"/>
  <c r="G30" i="56"/>
  <c r="F30" i="56"/>
  <c r="G29" i="56"/>
  <c r="C28" i="56"/>
  <c r="G27" i="56"/>
  <c r="G26" i="56"/>
  <c r="G25" i="56"/>
  <c r="F25" i="56"/>
  <c r="G24" i="56"/>
  <c r="F24" i="56"/>
  <c r="G23" i="56"/>
  <c r="F23" i="56"/>
  <c r="G18" i="56"/>
  <c r="F18" i="56"/>
  <c r="C18" i="56"/>
  <c r="H18" i="56" s="1"/>
  <c r="I22" i="56" s="1"/>
  <c r="C18" i="55"/>
  <c r="H18" i="55" s="1"/>
  <c r="I19" i="55" s="1"/>
  <c r="F32" i="55"/>
  <c r="G31" i="55"/>
  <c r="F31" i="55"/>
  <c r="F30" i="55"/>
  <c r="G30" i="55"/>
  <c r="G29" i="55"/>
  <c r="E28" i="55"/>
  <c r="G27" i="55"/>
  <c r="G26" i="55"/>
  <c r="G25" i="55"/>
  <c r="F25" i="55"/>
  <c r="G24" i="55"/>
  <c r="F24" i="55"/>
  <c r="G23" i="55"/>
  <c r="F23" i="55"/>
  <c r="I22" i="55"/>
  <c r="D22" i="55" s="1"/>
  <c r="F18" i="55"/>
  <c r="I27" i="54"/>
  <c r="I26" i="54"/>
  <c r="I24" i="54"/>
  <c r="I23" i="54"/>
  <c r="C18" i="54"/>
  <c r="J18" i="54" s="1"/>
  <c r="K22" i="54" s="1"/>
  <c r="G18" i="5"/>
  <c r="E29" i="6"/>
  <c r="G26" i="1"/>
  <c r="E28" i="5"/>
  <c r="E29" i="4"/>
  <c r="E29" i="3"/>
  <c r="F29" i="2"/>
  <c r="D29" i="17"/>
  <c r="D29" i="14"/>
  <c r="D29" i="13"/>
  <c r="D29" i="12"/>
  <c r="D29" i="10"/>
  <c r="D29" i="9"/>
  <c r="D29" i="8"/>
  <c r="D35" i="8" s="1"/>
  <c r="D29" i="6"/>
  <c r="D28" i="5"/>
  <c r="D29" i="4"/>
  <c r="D35" i="4" s="1"/>
  <c r="D29" i="3"/>
  <c r="D34" i="3" s="1"/>
  <c r="F30" i="42"/>
  <c r="F30" i="15"/>
  <c r="F30" i="13"/>
  <c r="F29" i="5"/>
  <c r="F28" i="5" s="1"/>
  <c r="D20" i="2"/>
  <c r="F20" i="2" s="1"/>
  <c r="F32" i="1"/>
  <c r="F31" i="1"/>
  <c r="F30" i="1"/>
  <c r="F29" i="1"/>
  <c r="F24" i="1"/>
  <c r="F18" i="1"/>
  <c r="F19" i="6"/>
  <c r="G32" i="1"/>
  <c r="G19" i="42"/>
  <c r="F30" i="4"/>
  <c r="F30" i="3"/>
  <c r="I23" i="49"/>
  <c r="I22" i="49"/>
  <c r="I21" i="49"/>
  <c r="I20" i="49"/>
  <c r="F25" i="8"/>
  <c r="G28" i="11"/>
  <c r="E32" i="47"/>
  <c r="E29" i="47"/>
  <c r="E30" i="47"/>
  <c r="E31" i="47"/>
  <c r="D32" i="47"/>
  <c r="D18" i="47"/>
  <c r="E18" i="47"/>
  <c r="D23" i="47"/>
  <c r="E23" i="47"/>
  <c r="D24" i="47"/>
  <c r="E24" i="47"/>
  <c r="D25" i="47"/>
  <c r="E25" i="47"/>
  <c r="D26" i="47"/>
  <c r="E26" i="47"/>
  <c r="D27" i="47"/>
  <c r="E27" i="47"/>
  <c r="D29" i="47"/>
  <c r="D30" i="47"/>
  <c r="D31" i="47"/>
  <c r="J33" i="47"/>
  <c r="I33" i="47"/>
  <c r="H33" i="47"/>
  <c r="C28" i="47"/>
  <c r="I22" i="47"/>
  <c r="I21" i="47"/>
  <c r="I20" i="47"/>
  <c r="I19" i="47"/>
  <c r="F26" i="42"/>
  <c r="F25" i="47" s="1"/>
  <c r="G33" i="42"/>
  <c r="F33" i="42"/>
  <c r="G32" i="42"/>
  <c r="F32" i="42"/>
  <c r="G31" i="42"/>
  <c r="F31" i="42"/>
  <c r="G30" i="42"/>
  <c r="E29" i="42"/>
  <c r="G28" i="42"/>
  <c r="G27" i="42"/>
  <c r="G26" i="42"/>
  <c r="G25" i="42"/>
  <c r="F25" i="42"/>
  <c r="G24" i="42"/>
  <c r="F24" i="42"/>
  <c r="I23" i="42"/>
  <c r="E23" i="42" s="1"/>
  <c r="I22" i="42"/>
  <c r="D22" i="42" s="1"/>
  <c r="F22" i="42" s="1"/>
  <c r="I21" i="42"/>
  <c r="E21" i="42" s="1"/>
  <c r="I20" i="42"/>
  <c r="D20" i="42" s="1"/>
  <c r="F19" i="42"/>
  <c r="F38" i="39"/>
  <c r="I33" i="39"/>
  <c r="H33" i="39"/>
  <c r="G32" i="39"/>
  <c r="F32" i="39"/>
  <c r="G31" i="39"/>
  <c r="F31" i="39"/>
  <c r="G30" i="39"/>
  <c r="F30" i="39"/>
  <c r="F28" i="39"/>
  <c r="G29" i="39"/>
  <c r="G28" i="39"/>
  <c r="E28" i="39"/>
  <c r="E33" i="39"/>
  <c r="D28" i="39"/>
  <c r="D33" i="39"/>
  <c r="C28" i="39"/>
  <c r="G27" i="39"/>
  <c r="G26" i="39"/>
  <c r="G25" i="39"/>
  <c r="G24" i="39"/>
  <c r="F24" i="39"/>
  <c r="G23" i="39"/>
  <c r="G33" i="39"/>
  <c r="I22" i="39"/>
  <c r="I21" i="39"/>
  <c r="E21" i="39"/>
  <c r="D21" i="39"/>
  <c r="F21" i="39"/>
  <c r="I20" i="39"/>
  <c r="E20" i="39"/>
  <c r="I19" i="39"/>
  <c r="D19" i="39"/>
  <c r="F19" i="39"/>
  <c r="G18" i="39"/>
  <c r="F18" i="39"/>
  <c r="E27" i="38"/>
  <c r="F27" i="38"/>
  <c r="D27" i="38"/>
  <c r="F39" i="38"/>
  <c r="K34" i="38"/>
  <c r="J34" i="38"/>
  <c r="I33" i="38"/>
  <c r="G33" i="38"/>
  <c r="H33" i="38"/>
  <c r="I32" i="38"/>
  <c r="G32" i="38"/>
  <c r="H32" i="38"/>
  <c r="I31" i="38"/>
  <c r="G31" i="38"/>
  <c r="H31" i="38"/>
  <c r="I30" i="38"/>
  <c r="H30" i="38"/>
  <c r="F29" i="38"/>
  <c r="F34" i="38"/>
  <c r="E29" i="38"/>
  <c r="E34" i="38"/>
  <c r="D29" i="38"/>
  <c r="D34" i="38"/>
  <c r="C29" i="38"/>
  <c r="I28" i="38"/>
  <c r="H28" i="38"/>
  <c r="I26" i="38"/>
  <c r="H26" i="38"/>
  <c r="I25" i="38"/>
  <c r="H25" i="38"/>
  <c r="I24" i="38"/>
  <c r="G24" i="38"/>
  <c r="I23" i="38"/>
  <c r="H23" i="38"/>
  <c r="K22" i="38"/>
  <c r="K21" i="38"/>
  <c r="E21" i="38"/>
  <c r="K20" i="38"/>
  <c r="K19" i="38"/>
  <c r="I18" i="38"/>
  <c r="G18" i="38"/>
  <c r="G27" i="38"/>
  <c r="H18" i="38"/>
  <c r="G23" i="1"/>
  <c r="G24" i="1"/>
  <c r="G25" i="1"/>
  <c r="E29" i="17"/>
  <c r="E29" i="14"/>
  <c r="E29" i="13"/>
  <c r="E29" i="12"/>
  <c r="E29" i="11"/>
  <c r="D35" i="11" s="1"/>
  <c r="E29" i="10"/>
  <c r="E29" i="9"/>
  <c r="G24" i="17"/>
  <c r="F25" i="17"/>
  <c r="G25" i="17"/>
  <c r="G26" i="17"/>
  <c r="G27" i="17"/>
  <c r="G28" i="17"/>
  <c r="G30" i="17"/>
  <c r="F31" i="17"/>
  <c r="G31" i="17"/>
  <c r="G29" i="17" s="1"/>
  <c r="F32" i="17"/>
  <c r="G32" i="17"/>
  <c r="F33" i="17"/>
  <c r="G33" i="17"/>
  <c r="I23" i="31"/>
  <c r="I22" i="31"/>
  <c r="I21" i="31"/>
  <c r="I20" i="31"/>
  <c r="I23" i="11"/>
  <c r="I22" i="11"/>
  <c r="I21" i="11"/>
  <c r="I20" i="11"/>
  <c r="I23" i="9"/>
  <c r="D23" i="9" s="1"/>
  <c r="F23" i="9" s="1"/>
  <c r="I22" i="9"/>
  <c r="E22" i="9" s="1"/>
  <c r="E21" i="9"/>
  <c r="I23" i="8"/>
  <c r="I22" i="8"/>
  <c r="I21" i="8"/>
  <c r="I20" i="8"/>
  <c r="I23" i="2"/>
  <c r="D23" i="2" s="1"/>
  <c r="F23" i="2" s="1"/>
  <c r="I22" i="2"/>
  <c r="D22" i="2" s="1"/>
  <c r="I21" i="2"/>
  <c r="D21" i="2" s="1"/>
  <c r="F21" i="2" s="1"/>
  <c r="I23" i="3"/>
  <c r="I22" i="3"/>
  <c r="D22" i="3" s="1"/>
  <c r="F22" i="3" s="1"/>
  <c r="I21" i="3"/>
  <c r="E21" i="3" s="1"/>
  <c r="I20" i="3"/>
  <c r="E20" i="3" s="1"/>
  <c r="E23" i="4"/>
  <c r="I22" i="4"/>
  <c r="D22" i="4" s="1"/>
  <c r="F22" i="4" s="1"/>
  <c r="I21" i="4"/>
  <c r="E21" i="4" s="1"/>
  <c r="I20" i="4"/>
  <c r="E20" i="4" s="1"/>
  <c r="I22" i="5"/>
  <c r="D22" i="5" s="1"/>
  <c r="I21" i="5"/>
  <c r="E21" i="5" s="1"/>
  <c r="I20" i="5"/>
  <c r="D20" i="5" s="1"/>
  <c r="I19" i="5"/>
  <c r="E19" i="5" s="1"/>
  <c r="I23" i="6"/>
  <c r="E23" i="6" s="1"/>
  <c r="I22" i="6"/>
  <c r="I21" i="6"/>
  <c r="I20" i="6"/>
  <c r="D20" i="6" s="1"/>
  <c r="F20" i="6" s="1"/>
  <c r="I23" i="7"/>
  <c r="I22" i="7"/>
  <c r="I21" i="7"/>
  <c r="I20" i="7"/>
  <c r="I23" i="10"/>
  <c r="D23" i="10" s="1"/>
  <c r="F23" i="10" s="1"/>
  <c r="I22" i="10"/>
  <c r="E22" i="10" s="1"/>
  <c r="I21" i="10"/>
  <c r="D21" i="10" s="1"/>
  <c r="F21" i="10" s="1"/>
  <c r="I20" i="10"/>
  <c r="D20" i="10" s="1"/>
  <c r="I23" i="12"/>
  <c r="D23" i="12" s="1"/>
  <c r="I22" i="12"/>
  <c r="D22" i="12" s="1"/>
  <c r="I21" i="12"/>
  <c r="E21" i="12" s="1"/>
  <c r="I20" i="12"/>
  <c r="D20" i="12" s="1"/>
  <c r="I23" i="13"/>
  <c r="D23" i="13" s="1"/>
  <c r="F23" i="13" s="1"/>
  <c r="E21" i="13"/>
  <c r="I23" i="14"/>
  <c r="E23" i="14" s="1"/>
  <c r="I22" i="14"/>
  <c r="I21" i="14"/>
  <c r="I20" i="14"/>
  <c r="D20" i="14" s="1"/>
  <c r="F20" i="14" s="1"/>
  <c r="I23" i="15"/>
  <c r="D23" i="15" s="1"/>
  <c r="I22" i="15"/>
  <c r="E22" i="15" s="1"/>
  <c r="I21" i="15"/>
  <c r="D21" i="15" s="1"/>
  <c r="F21" i="15" s="1"/>
  <c r="I20" i="15"/>
  <c r="E20" i="15" s="1"/>
  <c r="I23" i="17"/>
  <c r="I22" i="17"/>
  <c r="D22" i="17" s="1"/>
  <c r="I21" i="17"/>
  <c r="I20" i="17"/>
  <c r="E20" i="17" s="1"/>
  <c r="I23" i="18"/>
  <c r="I22" i="18"/>
  <c r="I21" i="18"/>
  <c r="I20" i="18"/>
  <c r="D22" i="10"/>
  <c r="F22" i="10" s="1"/>
  <c r="G31" i="1"/>
  <c r="G30" i="1"/>
  <c r="G28" i="1" s="1"/>
  <c r="G29" i="1"/>
  <c r="G27" i="1"/>
  <c r="G33" i="2"/>
  <c r="G32" i="2"/>
  <c r="G31" i="2"/>
  <c r="G30" i="2"/>
  <c r="G28" i="2"/>
  <c r="G27" i="2"/>
  <c r="G26" i="2"/>
  <c r="G25" i="2"/>
  <c r="G24" i="2"/>
  <c r="G19" i="2"/>
  <c r="F19" i="2"/>
  <c r="G33" i="3"/>
  <c r="F33" i="3"/>
  <c r="G32" i="3"/>
  <c r="G31" i="3"/>
  <c r="F31" i="3"/>
  <c r="G30" i="3"/>
  <c r="G29" i="3" s="1"/>
  <c r="G28" i="3"/>
  <c r="G27" i="3"/>
  <c r="G25" i="3"/>
  <c r="F25" i="3"/>
  <c r="G24" i="3"/>
  <c r="G19" i="3"/>
  <c r="F19" i="3"/>
  <c r="G33" i="4"/>
  <c r="F33" i="4"/>
  <c r="G32" i="4"/>
  <c r="F32" i="4"/>
  <c r="G31" i="4"/>
  <c r="F31" i="4"/>
  <c r="F29" i="4" s="1"/>
  <c r="G30" i="4"/>
  <c r="G28" i="4"/>
  <c r="G27" i="4"/>
  <c r="G26" i="4"/>
  <c r="G25" i="4"/>
  <c r="F25" i="4"/>
  <c r="G24" i="4"/>
  <c r="G19" i="4"/>
  <c r="F19" i="4"/>
  <c r="G32" i="5"/>
  <c r="F32" i="5"/>
  <c r="G31" i="5"/>
  <c r="F31" i="5"/>
  <c r="G30" i="5"/>
  <c r="F30" i="5"/>
  <c r="G29" i="5"/>
  <c r="G27" i="5"/>
  <c r="G24" i="5"/>
  <c r="F24" i="5"/>
  <c r="G23" i="5"/>
  <c r="F18" i="5"/>
  <c r="G33" i="6"/>
  <c r="G32" i="6"/>
  <c r="G31" i="6"/>
  <c r="G30" i="6"/>
  <c r="G28" i="6"/>
  <c r="G27" i="6"/>
  <c r="G26" i="6"/>
  <c r="G25" i="6"/>
  <c r="G24" i="6"/>
  <c r="G33" i="8"/>
  <c r="F33" i="8"/>
  <c r="G32" i="8"/>
  <c r="F32" i="8"/>
  <c r="G31" i="8"/>
  <c r="F31" i="8"/>
  <c r="G30" i="8"/>
  <c r="G28" i="8"/>
  <c r="G27" i="8"/>
  <c r="G26" i="8"/>
  <c r="G25" i="8"/>
  <c r="G24" i="8"/>
  <c r="G19" i="8"/>
  <c r="F19" i="8"/>
  <c r="G33" i="9"/>
  <c r="F33" i="9"/>
  <c r="G32" i="9"/>
  <c r="F32" i="9"/>
  <c r="F29" i="9" s="1"/>
  <c r="G31" i="9"/>
  <c r="G30" i="9"/>
  <c r="G28" i="9"/>
  <c r="G27" i="9"/>
  <c r="G26" i="9"/>
  <c r="G25" i="9"/>
  <c r="G24" i="9"/>
  <c r="G19" i="9"/>
  <c r="F19" i="9"/>
  <c r="G33" i="10"/>
  <c r="F33" i="10"/>
  <c r="G32" i="10"/>
  <c r="F32" i="10"/>
  <c r="G31" i="10"/>
  <c r="F31" i="10"/>
  <c r="G30" i="10"/>
  <c r="G28" i="10"/>
  <c r="G27" i="10"/>
  <c r="G26" i="10"/>
  <c r="G25" i="10"/>
  <c r="F25" i="10"/>
  <c r="G24" i="10"/>
  <c r="G19" i="10"/>
  <c r="F19" i="10"/>
  <c r="G33" i="11"/>
  <c r="G32" i="11"/>
  <c r="G31" i="11"/>
  <c r="F29" i="11"/>
  <c r="G30" i="11"/>
  <c r="G27" i="11"/>
  <c r="G26" i="11"/>
  <c r="G25" i="11"/>
  <c r="G24" i="11"/>
  <c r="G19" i="11"/>
  <c r="F19" i="11"/>
  <c r="G33" i="12"/>
  <c r="F33" i="12"/>
  <c r="G32" i="12"/>
  <c r="F32" i="12"/>
  <c r="G31" i="12"/>
  <c r="G30" i="12"/>
  <c r="G28" i="12"/>
  <c r="G27" i="12"/>
  <c r="G26" i="12"/>
  <c r="G25" i="12"/>
  <c r="F25" i="12"/>
  <c r="G24" i="12"/>
  <c r="G19" i="12"/>
  <c r="F19" i="12"/>
  <c r="G33" i="13"/>
  <c r="F33" i="13"/>
  <c r="G32" i="13"/>
  <c r="F32" i="13"/>
  <c r="G31" i="13"/>
  <c r="F31" i="13"/>
  <c r="F29" i="13" s="1"/>
  <c r="G30" i="13"/>
  <c r="G28" i="13"/>
  <c r="G27" i="13"/>
  <c r="G26" i="13"/>
  <c r="G25" i="13"/>
  <c r="F25" i="13"/>
  <c r="G24" i="13"/>
  <c r="G19" i="13"/>
  <c r="F19" i="13"/>
  <c r="G33" i="14"/>
  <c r="F33" i="14"/>
  <c r="G32" i="14"/>
  <c r="G31" i="14"/>
  <c r="F31" i="14"/>
  <c r="F29" i="14" s="1"/>
  <c r="G30" i="14"/>
  <c r="G28" i="14"/>
  <c r="G27" i="14"/>
  <c r="G26" i="14"/>
  <c r="G25" i="14"/>
  <c r="F25" i="14"/>
  <c r="G24" i="14"/>
  <c r="G19" i="14"/>
  <c r="F19" i="14"/>
  <c r="G33" i="15"/>
  <c r="F33" i="15"/>
  <c r="G32" i="15"/>
  <c r="F32" i="15"/>
  <c r="G31" i="15"/>
  <c r="F31" i="15"/>
  <c r="G30" i="15"/>
  <c r="G28" i="15"/>
  <c r="G27" i="15"/>
  <c r="G26" i="15"/>
  <c r="G25" i="15"/>
  <c r="F25" i="15"/>
  <c r="G24" i="15"/>
  <c r="G19" i="15"/>
  <c r="F19" i="15"/>
  <c r="G19" i="17"/>
  <c r="F19" i="17"/>
  <c r="D21" i="9"/>
  <c r="F21" i="9" s="1"/>
  <c r="H24" i="38"/>
  <c r="H27" i="38"/>
  <c r="E20" i="10"/>
  <c r="E21" i="2"/>
  <c r="G21" i="2" s="1"/>
  <c r="D23" i="14"/>
  <c r="F23" i="14" s="1"/>
  <c r="F20" i="38"/>
  <c r="E20" i="38"/>
  <c r="G20" i="38"/>
  <c r="F22" i="38"/>
  <c r="I22" i="38"/>
  <c r="E22" i="38"/>
  <c r="G22" i="38"/>
  <c r="H22" i="38"/>
  <c r="F19" i="38"/>
  <c r="I19" i="38"/>
  <c r="E19" i="38"/>
  <c r="G19" i="38"/>
  <c r="G21" i="39"/>
  <c r="I32" i="54"/>
  <c r="E21" i="14"/>
  <c r="D21" i="14"/>
  <c r="F21" i="14" s="1"/>
  <c r="E22" i="17"/>
  <c r="E22" i="5"/>
  <c r="D21" i="5"/>
  <c r="F21" i="5" s="1"/>
  <c r="E23" i="15"/>
  <c r="E23" i="3"/>
  <c r="D23" i="3"/>
  <c r="F23" i="3" s="1"/>
  <c r="E23" i="9"/>
  <c r="G23" i="9" s="1"/>
  <c r="E20" i="42"/>
  <c r="D20" i="61"/>
  <c r="F20" i="61" s="1"/>
  <c r="I22" i="61"/>
  <c r="I21" i="61"/>
  <c r="D21" i="61" s="1"/>
  <c r="F21" i="61" s="1"/>
  <c r="I23" i="61"/>
  <c r="D23" i="61" s="1"/>
  <c r="F23" i="61" s="1"/>
  <c r="E23" i="61"/>
  <c r="E22" i="14"/>
  <c r="D22" i="14"/>
  <c r="D21" i="3"/>
  <c r="F21" i="3" s="1"/>
  <c r="D21" i="1"/>
  <c r="F21" i="1" s="1"/>
  <c r="G29" i="38"/>
  <c r="G34" i="38"/>
  <c r="E20" i="6"/>
  <c r="D22" i="39"/>
  <c r="F22" i="39"/>
  <c r="E22" i="39"/>
  <c r="G22" i="39"/>
  <c r="E22" i="2"/>
  <c r="E23" i="17"/>
  <c r="D23" i="17"/>
  <c r="F23" i="17" s="1"/>
  <c r="E23" i="12"/>
  <c r="F21" i="38"/>
  <c r="I20" i="38"/>
  <c r="E20" i="13"/>
  <c r="D20" i="13"/>
  <c r="G20" i="13" s="1"/>
  <c r="E20" i="9"/>
  <c r="D20" i="9"/>
  <c r="I27" i="38"/>
  <c r="E19" i="39"/>
  <c r="G19" i="39"/>
  <c r="E20" i="12"/>
  <c r="I29" i="38"/>
  <c r="I34" i="38"/>
  <c r="D19" i="1"/>
  <c r="G19" i="1" s="1"/>
  <c r="E19" i="1"/>
  <c r="E22" i="42"/>
  <c r="G31" i="54"/>
  <c r="H31" i="54" s="1"/>
  <c r="I24" i="61"/>
  <c r="E24" i="61" s="1"/>
  <c r="E19" i="61"/>
  <c r="I31" i="54"/>
  <c r="E22" i="4"/>
  <c r="D21" i="17"/>
  <c r="F21" i="17" s="1"/>
  <c r="E21" i="17"/>
  <c r="G30" i="54"/>
  <c r="H30" i="54" s="1"/>
  <c r="I33" i="54"/>
  <c r="D22" i="9"/>
  <c r="F33" i="39"/>
  <c r="F28" i="56"/>
  <c r="I30" i="54"/>
  <c r="F20" i="9"/>
  <c r="D21" i="13"/>
  <c r="F21" i="13" s="1"/>
  <c r="D22" i="6"/>
  <c r="F22" i="6" s="1"/>
  <c r="E22" i="6"/>
  <c r="D20" i="3"/>
  <c r="F20" i="3" s="1"/>
  <c r="H29" i="38"/>
  <c r="H34" i="38"/>
  <c r="G32" i="54"/>
  <c r="H32" i="54" s="1"/>
  <c r="F23" i="47"/>
  <c r="F22" i="14"/>
  <c r="G27" i="62"/>
  <c r="G22" i="14"/>
  <c r="D20" i="62"/>
  <c r="H19" i="38"/>
  <c r="D21" i="12"/>
  <c r="F21" i="12" s="1"/>
  <c r="F19" i="61"/>
  <c r="G33" i="55"/>
  <c r="E22" i="12"/>
  <c r="E21" i="10"/>
  <c r="G21" i="10" s="1"/>
  <c r="E20" i="1"/>
  <c r="F28" i="1"/>
  <c r="D19" i="62"/>
  <c r="F19" i="62" s="1"/>
  <c r="E18" i="62"/>
  <c r="G18" i="62" s="1"/>
  <c r="F20" i="62"/>
  <c r="F20" i="13"/>
  <c r="H20" i="38"/>
  <c r="D22" i="13"/>
  <c r="F22" i="13" s="1"/>
  <c r="E22" i="13"/>
  <c r="E20" i="61"/>
  <c r="G20" i="61" s="1"/>
  <c r="G29" i="12"/>
  <c r="D21" i="6"/>
  <c r="F21" i="6" s="1"/>
  <c r="E21" i="6"/>
  <c r="F22" i="1"/>
  <c r="F22" i="9"/>
  <c r="D24" i="61"/>
  <c r="F24" i="61" s="1"/>
  <c r="E22" i="61"/>
  <c r="D22" i="61"/>
  <c r="F22" i="61" s="1"/>
  <c r="G21" i="38"/>
  <c r="H21" i="38"/>
  <c r="I21" i="38"/>
  <c r="D20" i="39"/>
  <c r="E23" i="10"/>
  <c r="G23" i="10" s="1"/>
  <c r="F20" i="39"/>
  <c r="G20" i="39"/>
  <c r="I21" i="58" l="1"/>
  <c r="I22" i="58"/>
  <c r="I19" i="58"/>
  <c r="I21" i="55"/>
  <c r="D35" i="42"/>
  <c r="D20" i="17"/>
  <c r="F20" i="17" s="1"/>
  <c r="F27" i="17"/>
  <c r="G38" i="17" s="1"/>
  <c r="D35" i="17"/>
  <c r="F43" i="14"/>
  <c r="G38" i="14" s="1"/>
  <c r="E20" i="14"/>
  <c r="G20" i="14" s="1"/>
  <c r="E23" i="13"/>
  <c r="G21" i="13"/>
  <c r="D35" i="13"/>
  <c r="F29" i="12"/>
  <c r="D35" i="12"/>
  <c r="E20" i="11"/>
  <c r="D20" i="11"/>
  <c r="F20" i="11" s="1"/>
  <c r="D21" i="11"/>
  <c r="F21" i="11" s="1"/>
  <c r="E21" i="11"/>
  <c r="D22" i="11"/>
  <c r="F22" i="11" s="1"/>
  <c r="E22" i="11"/>
  <c r="G22" i="11" s="1"/>
  <c r="D23" i="11"/>
  <c r="F23" i="11" s="1"/>
  <c r="E23" i="11"/>
  <c r="F44" i="9"/>
  <c r="F27" i="9" s="1"/>
  <c r="G38" i="9" s="1"/>
  <c r="G20" i="9"/>
  <c r="D35" i="9"/>
  <c r="G29" i="4"/>
  <c r="G20" i="3"/>
  <c r="E22" i="3"/>
  <c r="G22" i="3" s="1"/>
  <c r="D34" i="1"/>
  <c r="E18" i="70"/>
  <c r="D18" i="70"/>
  <c r="F18" i="70" s="1"/>
  <c r="D19" i="70"/>
  <c r="F19" i="70" s="1"/>
  <c r="E19" i="70"/>
  <c r="E20" i="70"/>
  <c r="D20" i="70"/>
  <c r="F20" i="70" s="1"/>
  <c r="E21" i="70"/>
  <c r="F21" i="70"/>
  <c r="F27" i="62"/>
  <c r="D21" i="62"/>
  <c r="F21" i="62" s="1"/>
  <c r="G19" i="62"/>
  <c r="G20" i="62"/>
  <c r="E21" i="61"/>
  <c r="G23" i="61"/>
  <c r="G30" i="61"/>
  <c r="G21" i="61"/>
  <c r="G24" i="61"/>
  <c r="G19" i="61"/>
  <c r="G22" i="61"/>
  <c r="F28" i="58"/>
  <c r="D20" i="58"/>
  <c r="F20" i="58" s="1"/>
  <c r="I23" i="57"/>
  <c r="I20" i="57"/>
  <c r="I22" i="57"/>
  <c r="F29" i="57"/>
  <c r="E21" i="57"/>
  <c r="G21" i="57" s="1"/>
  <c r="K20" i="54"/>
  <c r="G28" i="56"/>
  <c r="I21" i="56"/>
  <c r="D22" i="56"/>
  <c r="F22" i="56" s="1"/>
  <c r="E22" i="56"/>
  <c r="I20" i="56"/>
  <c r="I19" i="56"/>
  <c r="E19" i="55"/>
  <c r="G19" i="55" s="1"/>
  <c r="D19" i="55"/>
  <c r="F19" i="55" s="1"/>
  <c r="I20" i="55"/>
  <c r="G28" i="55"/>
  <c r="F28" i="55"/>
  <c r="K21" i="54"/>
  <c r="K19" i="54"/>
  <c r="E19" i="54" s="1"/>
  <c r="G19" i="54" s="1"/>
  <c r="I28" i="54"/>
  <c r="E22" i="54"/>
  <c r="G22" i="54" s="1"/>
  <c r="F22" i="54"/>
  <c r="E23" i="49"/>
  <c r="D23" i="49"/>
  <c r="F23" i="49" s="1"/>
  <c r="E20" i="49"/>
  <c r="D20" i="49"/>
  <c r="F20" i="49" s="1"/>
  <c r="D21" i="49"/>
  <c r="F21" i="49" s="1"/>
  <c r="E21" i="49"/>
  <c r="E22" i="49"/>
  <c r="D22" i="49"/>
  <c r="F22" i="49" s="1"/>
  <c r="G29" i="42"/>
  <c r="F29" i="42"/>
  <c r="F20" i="42"/>
  <c r="G20" i="42"/>
  <c r="D23" i="42"/>
  <c r="D21" i="42"/>
  <c r="F21" i="42" s="1"/>
  <c r="G22" i="42"/>
  <c r="E23" i="34"/>
  <c r="D23" i="34"/>
  <c r="F23" i="34" s="1"/>
  <c r="E22" i="34"/>
  <c r="D22" i="34"/>
  <c r="F22" i="34" s="1"/>
  <c r="E21" i="34"/>
  <c r="D21" i="34"/>
  <c r="F21" i="34" s="1"/>
  <c r="E20" i="34"/>
  <c r="D20" i="34"/>
  <c r="F20" i="34" s="1"/>
  <c r="E20" i="31"/>
  <c r="D20" i="31"/>
  <c r="F20" i="31" s="1"/>
  <c r="E21" i="31"/>
  <c r="D21" i="31"/>
  <c r="F21" i="31" s="1"/>
  <c r="D22" i="31"/>
  <c r="F22" i="31" s="1"/>
  <c r="E22" i="31"/>
  <c r="E23" i="31"/>
  <c r="D23" i="31"/>
  <c r="F23" i="31" s="1"/>
  <c r="E20" i="18"/>
  <c r="D20" i="18"/>
  <c r="F20" i="18" s="1"/>
  <c r="E21" i="18"/>
  <c r="D21" i="18"/>
  <c r="F21" i="18" s="1"/>
  <c r="E23" i="18"/>
  <c r="D23" i="18"/>
  <c r="F23" i="18" s="1"/>
  <c r="D22" i="18"/>
  <c r="F22" i="18" s="1"/>
  <c r="E22" i="18"/>
  <c r="G36" i="18"/>
  <c r="E28" i="47"/>
  <c r="E33" i="47" s="1"/>
  <c r="F29" i="17"/>
  <c r="G21" i="17"/>
  <c r="G23" i="17"/>
  <c r="G20" i="17"/>
  <c r="F22" i="17"/>
  <c r="G22" i="17"/>
  <c r="D22" i="15"/>
  <c r="F22" i="15" s="1"/>
  <c r="D20" i="15"/>
  <c r="F20" i="15" s="1"/>
  <c r="F29" i="15"/>
  <c r="G29" i="15"/>
  <c r="E21" i="15"/>
  <c r="G21" i="15" s="1"/>
  <c r="G22" i="15"/>
  <c r="G23" i="15"/>
  <c r="F23" i="15"/>
  <c r="D35" i="14"/>
  <c r="G29" i="14"/>
  <c r="G21" i="14"/>
  <c r="G23" i="14"/>
  <c r="G29" i="13"/>
  <c r="G22" i="13"/>
  <c r="G23" i="13"/>
  <c r="F23" i="12"/>
  <c r="G23" i="12"/>
  <c r="G20" i="12"/>
  <c r="F20" i="12"/>
  <c r="G22" i="12"/>
  <c r="F22" i="12"/>
  <c r="G21" i="12"/>
  <c r="G29" i="11"/>
  <c r="F24" i="47"/>
  <c r="F29" i="10"/>
  <c r="G29" i="10"/>
  <c r="G26" i="47"/>
  <c r="G22" i="10"/>
  <c r="F20" i="10"/>
  <c r="G20" i="10"/>
  <c r="E22" i="8"/>
  <c r="G22" i="8" s="1"/>
  <c r="D22" i="8"/>
  <c r="F22" i="8" s="1"/>
  <c r="E23" i="8"/>
  <c r="G23" i="8" s="1"/>
  <c r="D23" i="8"/>
  <c r="F23" i="8" s="1"/>
  <c r="D20" i="8"/>
  <c r="F20" i="8" s="1"/>
  <c r="E20" i="8"/>
  <c r="E21" i="8"/>
  <c r="G21" i="8" s="1"/>
  <c r="D21" i="8"/>
  <c r="F21" i="8" s="1"/>
  <c r="F27" i="8"/>
  <c r="G38" i="8" s="1"/>
  <c r="G29" i="8"/>
  <c r="F29" i="8"/>
  <c r="G29" i="9"/>
  <c r="G30" i="47"/>
  <c r="F18" i="47"/>
  <c r="G24" i="47"/>
  <c r="F31" i="47"/>
  <c r="G21" i="9"/>
  <c r="G22" i="9"/>
  <c r="F27" i="7"/>
  <c r="G38" i="7" s="1"/>
  <c r="D21" i="7"/>
  <c r="F21" i="7" s="1"/>
  <c r="E21" i="7"/>
  <c r="G21" i="7" s="1"/>
  <c r="D22" i="7"/>
  <c r="F22" i="7" s="1"/>
  <c r="E22" i="7"/>
  <c r="D23" i="7"/>
  <c r="F23" i="7" s="1"/>
  <c r="E23" i="7"/>
  <c r="G23" i="7" s="1"/>
  <c r="D20" i="7"/>
  <c r="F20" i="7" s="1"/>
  <c r="E20" i="7"/>
  <c r="G20" i="7" s="1"/>
  <c r="G21" i="6"/>
  <c r="G29" i="6"/>
  <c r="G29" i="47"/>
  <c r="G22" i="6"/>
  <c r="G20" i="6"/>
  <c r="D23" i="6"/>
  <c r="F23" i="6" s="1"/>
  <c r="G27" i="47"/>
  <c r="G23" i="47"/>
  <c r="F29" i="47"/>
  <c r="D19" i="5"/>
  <c r="F19" i="5" s="1"/>
  <c r="G28" i="5"/>
  <c r="D28" i="47"/>
  <c r="D33" i="47" s="1"/>
  <c r="E20" i="5"/>
  <c r="F32" i="47"/>
  <c r="G21" i="5"/>
  <c r="G20" i="5"/>
  <c r="F20" i="5"/>
  <c r="F22" i="5"/>
  <c r="G22" i="5"/>
  <c r="G25" i="47"/>
  <c r="F30" i="47"/>
  <c r="D21" i="4"/>
  <c r="G21" i="4" s="1"/>
  <c r="G22" i="4"/>
  <c r="D23" i="4"/>
  <c r="F23" i="4" s="1"/>
  <c r="D20" i="4"/>
  <c r="F20" i="4" s="1"/>
  <c r="G31" i="47"/>
  <c r="F29" i="3"/>
  <c r="G23" i="3"/>
  <c r="G21" i="3"/>
  <c r="G29" i="2"/>
  <c r="E23" i="2"/>
  <c r="G32" i="47"/>
  <c r="G23" i="2"/>
  <c r="F22" i="2"/>
  <c r="G22" i="2"/>
  <c r="E20" i="2"/>
  <c r="G20" i="2" s="1"/>
  <c r="G18" i="47"/>
  <c r="G21" i="1"/>
  <c r="E22" i="1"/>
  <c r="G22" i="1" s="1"/>
  <c r="G20" i="1"/>
  <c r="F19" i="1"/>
  <c r="F27" i="47"/>
  <c r="F26" i="1"/>
  <c r="G37" i="1" s="1"/>
  <c r="E22" i="55"/>
  <c r="G22" i="55" s="1"/>
  <c r="F22" i="55"/>
  <c r="E21" i="47"/>
  <c r="D20" i="47"/>
  <c r="D19" i="58" l="1"/>
  <c r="F19" i="58" s="1"/>
  <c r="E19" i="58"/>
  <c r="D22" i="58"/>
  <c r="F22" i="58" s="1"/>
  <c r="E22" i="58"/>
  <c r="D21" i="58"/>
  <c r="F21" i="58" s="1"/>
  <c r="E21" i="58"/>
  <c r="E21" i="55"/>
  <c r="D21" i="55"/>
  <c r="F21" i="55" s="1"/>
  <c r="G20" i="11"/>
  <c r="G23" i="11"/>
  <c r="G21" i="11"/>
  <c r="F21" i="4"/>
  <c r="G20" i="70"/>
  <c r="G19" i="70"/>
  <c r="G21" i="70"/>
  <c r="G18" i="70"/>
  <c r="G21" i="62"/>
  <c r="G20" i="58"/>
  <c r="E23" i="57"/>
  <c r="D23" i="57"/>
  <c r="F23" i="57" s="1"/>
  <c r="E22" i="57"/>
  <c r="D22" i="57"/>
  <c r="F22" i="57" s="1"/>
  <c r="D20" i="57"/>
  <c r="F20" i="57" s="1"/>
  <c r="E20" i="57"/>
  <c r="F19" i="54"/>
  <c r="E20" i="54"/>
  <c r="G20" i="54" s="1"/>
  <c r="F20" i="54"/>
  <c r="E21" i="56"/>
  <c r="D21" i="56"/>
  <c r="F21" i="56" s="1"/>
  <c r="G22" i="56"/>
  <c r="D19" i="56"/>
  <c r="F19" i="56" s="1"/>
  <c r="E19" i="56"/>
  <c r="E20" i="56"/>
  <c r="D20" i="56"/>
  <c r="F20" i="56" s="1"/>
  <c r="D20" i="55"/>
  <c r="F20" i="55" s="1"/>
  <c r="E20" i="55"/>
  <c r="I22" i="54"/>
  <c r="F21" i="54"/>
  <c r="E21" i="54"/>
  <c r="G21" i="54" s="1"/>
  <c r="H22" i="54"/>
  <c r="G23" i="49"/>
  <c r="G22" i="49"/>
  <c r="G20" i="49"/>
  <c r="G21" i="49"/>
  <c r="G23" i="42"/>
  <c r="F23" i="42"/>
  <c r="F22" i="47" s="1"/>
  <c r="G21" i="42"/>
  <c r="G21" i="34"/>
  <c r="G20" i="34"/>
  <c r="G22" i="34"/>
  <c r="D19" i="47"/>
  <c r="G23" i="34"/>
  <c r="G20" i="31"/>
  <c r="G22" i="31"/>
  <c r="G23" i="31"/>
  <c r="G21" i="31"/>
  <c r="G23" i="18"/>
  <c r="G20" i="18"/>
  <c r="G22" i="18"/>
  <c r="D21" i="47"/>
  <c r="G21" i="18"/>
  <c r="G20" i="15"/>
  <c r="G20" i="8"/>
  <c r="G28" i="47"/>
  <c r="G33" i="47" s="1"/>
  <c r="E20" i="47"/>
  <c r="G22" i="7"/>
  <c r="G23" i="6"/>
  <c r="G19" i="5"/>
  <c r="F20" i="47"/>
  <c r="F19" i="47"/>
  <c r="G23" i="4"/>
  <c r="G20" i="4"/>
  <c r="F28" i="47"/>
  <c r="F33" i="47" s="1"/>
  <c r="F21" i="47"/>
  <c r="E19" i="47"/>
  <c r="G21" i="47"/>
  <c r="E22" i="47"/>
  <c r="F26" i="47"/>
  <c r="D22" i="47"/>
  <c r="G22" i="58" l="1"/>
  <c r="G21" i="58"/>
  <c r="G19" i="58"/>
  <c r="G21" i="55"/>
  <c r="G23" i="57"/>
  <c r="G20" i="57"/>
  <c r="G22" i="57"/>
  <c r="H20" i="54"/>
  <c r="I20" i="54"/>
  <c r="H19" i="54"/>
  <c r="I19" i="54"/>
  <c r="G21" i="56"/>
  <c r="G19" i="56"/>
  <c r="G20" i="56"/>
  <c r="G20" i="55"/>
  <c r="H21" i="54"/>
  <c r="I21" i="54"/>
  <c r="G19" i="47"/>
  <c r="G20" i="47"/>
  <c r="G22" i="47"/>
</calcChain>
</file>

<file path=xl/sharedStrings.xml><?xml version="1.0" encoding="utf-8"?>
<sst xmlns="http://schemas.openxmlformats.org/spreadsheetml/2006/main" count="6224" uniqueCount="559">
  <si>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</si>
  <si>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</si>
  <si>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</si>
  <si>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</si>
  <si>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</si>
  <si>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</si>
  <si>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</si>
  <si>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</si>
  <si>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</si>
  <si>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</si>
  <si>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</si>
  <si>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</si>
  <si>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</si>
  <si>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</si>
  <si>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</si>
  <si>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</si>
  <si>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</si>
  <si>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</si>
  <si>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</si>
  <si>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</si>
  <si>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</si>
  <si>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</si>
  <si>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</si>
  <si>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</si>
  <si>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</si>
  <si>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</si>
  <si>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</si>
  <si>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</si>
  <si>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</si>
  <si>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</si>
  <si>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</si>
  <si>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</si>
  <si>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</si>
  <si>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</si>
  <si>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</si>
  <si>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</si>
  <si>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</si>
  <si>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</si>
  <si>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</si>
  <si>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</si>
  <si>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</si>
  <si>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</si>
  <si>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</si>
  <si>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</si>
  <si>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</si>
  <si>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</si>
  <si>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</si>
  <si>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</si>
  <si>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</si>
  <si>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</si>
  <si>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</si>
  <si>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</si>
  <si>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</si>
  <si>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</si>
  <si>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</si>
  <si>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</si>
  <si>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</si>
  <si>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ул. Багговута д. 12    </t>
  </si>
  <si>
    <t xml:space="preserve">           2811,80 кв.м      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</si>
  <si>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</si>
  <si>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</si>
  <si>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</si>
  <si>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</si>
  <si>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</si>
  <si>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</si>
  <si>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     1622,20 кв.м          </t>
  </si>
  <si>
    <t xml:space="preserve">      ул. Социалистическая  д. 12    </t>
  </si>
  <si>
    <t xml:space="preserve">      ул. Телевизионная д. 2     </t>
  </si>
  <si>
    <t xml:space="preserve">          1720,20 кв.м          </t>
  </si>
  <si>
    <t xml:space="preserve">      ул. Телевизионная д. 4    </t>
  </si>
  <si>
    <t xml:space="preserve">      ул. Чичерина  д. 7 а    </t>
  </si>
  <si>
    <t xml:space="preserve">           1282,50 кв.м      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</si>
  <si>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</si>
  <si>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</si>
  <si>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</si>
  <si>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     3122,40 кв.м          </t>
  </si>
  <si>
    <t xml:space="preserve">      ул. Калинина д. 12   </t>
  </si>
  <si>
    <t xml:space="preserve">           2724,30 кв.м          </t>
  </si>
  <si>
    <t xml:space="preserve">      ул. Калинина д. 18   </t>
  </si>
  <si>
    <t xml:space="preserve">      ул. Калинина д. 23   </t>
  </si>
  <si>
    <t xml:space="preserve">           3398,70 кв.м          </t>
  </si>
  <si>
    <t xml:space="preserve">      ул. Пионерская д. 9    </t>
  </si>
  <si>
    <t xml:space="preserve">           2980,10 кв.м          </t>
  </si>
  <si>
    <t xml:space="preserve">      ул. Высокая  д. 4    </t>
  </si>
  <si>
    <t xml:space="preserve">           1817,70 кв.м      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</si>
  <si>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</si>
  <si>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</si>
  <si>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</si>
  <si>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</si>
  <si>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</si>
  <si>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</si>
  <si>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1393,60 кв.м          </t>
  </si>
  <si>
    <t xml:space="preserve">           900,40 кв.м          </t>
  </si>
  <si>
    <t xml:space="preserve">      ул. Пионерская д. 2    </t>
  </si>
  <si>
    <t xml:space="preserve">           4684,60 кв.м          </t>
  </si>
  <si>
    <t xml:space="preserve">      ул. Чичерина д. 16    </t>
  </si>
  <si>
    <t xml:space="preserve">      ул. Чичерина  д. 22     </t>
  </si>
  <si>
    <t xml:space="preserve">           1961,70 кв.м     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</si>
  <si>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</si>
  <si>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</si>
  <si>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</si>
  <si>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</si>
  <si>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</si>
  <si>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</si>
  <si>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2.1.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</si>
  <si>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</si>
  <si>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</si>
  <si>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</si>
  <si>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</si>
  <si>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</si>
  <si>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</si>
  <si>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</si>
  <si>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</si>
  <si>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</si>
  <si>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</si>
  <si>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</si>
  <si>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2.2.</t>
  </si>
  <si>
    <t>1.6.</t>
  </si>
  <si>
    <t>1.7.</t>
  </si>
  <si>
    <t xml:space="preserve">      ул. Ленина д. 68/8    </t>
  </si>
  <si>
    <t xml:space="preserve">           3683,40 кв.м          </t>
  </si>
  <si>
    <t xml:space="preserve">      ул. Ленина д. 67    </t>
  </si>
  <si>
    <t xml:space="preserve">           2467,00 кв.м      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</si>
  <si>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</si>
  <si>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</si>
  <si>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</si>
  <si>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</si>
  <si>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</si>
  <si>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</si>
  <si>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</si>
  <si>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</si>
  <si>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</si>
  <si>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</si>
  <si>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</si>
  <si>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</si>
  <si>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</si>
  <si>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</si>
  <si>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</si>
  <si>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</si>
  <si>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</si>
  <si>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</si>
  <si>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</si>
  <si>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</si>
  <si>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    3803,90 кв.м          </t>
  </si>
  <si>
    <t xml:space="preserve">      ул. Билибина д. 26    </t>
  </si>
  <si>
    <t xml:space="preserve">          3099,30 кв.м          </t>
  </si>
  <si>
    <t xml:space="preserve">      ул. Билибина д. 28   </t>
  </si>
  <si>
    <t xml:space="preserve">         3906,35   кв.м          </t>
  </si>
  <si>
    <t xml:space="preserve">      ул. Ленина д. 61/5      </t>
  </si>
  <si>
    <t>Смена стояка ХВС</t>
  </si>
  <si>
    <t>заполнены</t>
  </si>
  <si>
    <t xml:space="preserve">           4710,20 кв.м          </t>
  </si>
  <si>
    <t xml:space="preserve">          2078,60 кв.м          </t>
  </si>
  <si>
    <t xml:space="preserve">      ул. Пролетарская д. 135</t>
  </si>
  <si>
    <t>Утепление наружных стен</t>
  </si>
  <si>
    <t xml:space="preserve">3920.10 кв.м          </t>
  </si>
  <si>
    <t xml:space="preserve">           2425,20 кв.м          </t>
  </si>
  <si>
    <t xml:space="preserve">           1934,20 кв.м          </t>
  </si>
  <si>
    <t xml:space="preserve">           2419.10 кв.м          </t>
  </si>
  <si>
    <t xml:space="preserve">         3067,10 кв.м          </t>
  </si>
  <si>
    <t xml:space="preserve">      ул. Молодежная д. 41</t>
  </si>
  <si>
    <t xml:space="preserve">         7257.10 кв.м          </t>
  </si>
  <si>
    <t xml:space="preserve">      ул. Солнечный бульвар д. 2</t>
  </si>
  <si>
    <t xml:space="preserve">         15242.20 кв.м          </t>
  </si>
  <si>
    <t xml:space="preserve">      ул. Солнечный бульвар д. 4</t>
  </si>
  <si>
    <t xml:space="preserve">         9364.90 кв.м          </t>
  </si>
  <si>
    <t xml:space="preserve">        2290.33 кв.м          </t>
  </si>
  <si>
    <t xml:space="preserve">      ул. Солнечный бульвар д. 4/1</t>
  </si>
  <si>
    <t xml:space="preserve">      ул. Солнечный бульвар д. 4/2</t>
  </si>
  <si>
    <t xml:space="preserve">        5534.00 кв.м          </t>
  </si>
  <si>
    <t>Дополнительные услуги</t>
  </si>
  <si>
    <t>Холодное водоснабжение и водоотведение</t>
  </si>
  <si>
    <t>Ремонт совмещенной кровли</t>
  </si>
  <si>
    <t>Горячее водоснабжение и водоотведение</t>
  </si>
  <si>
    <t>1.11.</t>
  </si>
  <si>
    <t>Водоотведение хвс</t>
  </si>
  <si>
    <t>Водоотведение гвс</t>
  </si>
  <si>
    <t xml:space="preserve">Горячее водоснабжение </t>
  </si>
  <si>
    <t>7.5.</t>
  </si>
  <si>
    <t>7.6.</t>
  </si>
  <si>
    <t>Провайдеры</t>
  </si>
  <si>
    <t>Электроэнергия, в т.ч.</t>
  </si>
  <si>
    <t xml:space="preserve">           3557,70 кв.м          </t>
  </si>
  <si>
    <t xml:space="preserve">           3503,50 кв.м          </t>
  </si>
  <si>
    <t xml:space="preserve">         2547,98 кв.м          </t>
  </si>
  <si>
    <t xml:space="preserve">          1740,30 кв.м          </t>
  </si>
  <si>
    <t xml:space="preserve">          3411,40 кв.м          </t>
  </si>
  <si>
    <t xml:space="preserve">           4481,30 кв.м          </t>
  </si>
  <si>
    <t xml:space="preserve">          3367,20 кв.м          </t>
  </si>
  <si>
    <t xml:space="preserve">           3217,23 кв.м          </t>
  </si>
  <si>
    <t xml:space="preserve">           2855,50 кв.м          </t>
  </si>
  <si>
    <t xml:space="preserve">           5515,80 кв.м          </t>
  </si>
  <si>
    <t xml:space="preserve">           1599,20 кв.м          </t>
  </si>
  <si>
    <t>Остаток средст на проведение текущего ремонта по состоянию на 31.01.2017 г.</t>
  </si>
  <si>
    <t xml:space="preserve">         1785,20 кв.м          </t>
  </si>
  <si>
    <t xml:space="preserve">        4068,2 кв.м          </t>
  </si>
  <si>
    <t xml:space="preserve">      ул. Аллейная, д.2</t>
  </si>
  <si>
    <t>Ремонт отмостки</t>
  </si>
  <si>
    <t>1.12.</t>
  </si>
  <si>
    <t>1.13.</t>
  </si>
  <si>
    <t>1.14.</t>
  </si>
  <si>
    <t>1.15.</t>
  </si>
  <si>
    <t>Обслуживание крышной котельной</t>
  </si>
  <si>
    <t>Уборка мест общего пользования</t>
  </si>
  <si>
    <t xml:space="preserve"> 4483,60 кв.м          </t>
  </si>
  <si>
    <t>Установка датчиков движения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</si>
  <si>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</si>
  <si>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</si>
  <si>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</si>
  <si>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</si>
  <si>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</si>
  <si>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</si>
  <si>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</si>
  <si>
    <t>Долг населения на 31.01.2018 г.</t>
  </si>
  <si>
    <t>Остаток средст на проведение капитального ремонта по состоянию на 31.01.2018 г.</t>
  </si>
  <si>
    <t>Остаток средст на проведение текущего ремонта по состоянию на 31.01.2018 г.</t>
  </si>
  <si>
    <t xml:space="preserve">      ул. Телевизионная д. 10     </t>
  </si>
  <si>
    <t xml:space="preserve">           2417.20 кв.м          </t>
  </si>
  <si>
    <t xml:space="preserve">      ул.Дубрава д. 3    </t>
  </si>
  <si>
    <t xml:space="preserve">           722,35 кв.м          </t>
  </si>
  <si>
    <t xml:space="preserve">      ул.Дубрава д.10</t>
  </si>
  <si>
    <t xml:space="preserve">          3268,8 кв.м          </t>
  </si>
  <si>
    <t xml:space="preserve">      ул.Нефтебаза д.3</t>
  </si>
  <si>
    <t xml:space="preserve">          1788 кв.м          </t>
  </si>
  <si>
    <t xml:space="preserve">      ул.Нефтебаза д.5</t>
  </si>
  <si>
    <t xml:space="preserve">          1987,35 кв.м          </t>
  </si>
  <si>
    <t xml:space="preserve">      ул.Аэропортовская д.14</t>
  </si>
  <si>
    <t xml:space="preserve">          5334,30 кв.м          </t>
  </si>
  <si>
    <t xml:space="preserve">      ул.Дорожная д.11 корп.1</t>
  </si>
  <si>
    <t xml:space="preserve">          2547,58 кв.м          </t>
  </si>
  <si>
    <t xml:space="preserve">      ул.Дорожная д.11 корп.2</t>
  </si>
  <si>
    <t xml:space="preserve">          2880,2 кв.м          </t>
  </si>
  <si>
    <t>Дезинсекция</t>
  </si>
  <si>
    <t>Смена запорной арматуры</t>
  </si>
  <si>
    <t>Смена радиаторов отопления</t>
  </si>
  <si>
    <t>Смена стояка системы ХВС</t>
  </si>
  <si>
    <t xml:space="preserve">Размещение оборудования оператрами связи </t>
  </si>
  <si>
    <t>Бухгалтерские услуги</t>
  </si>
  <si>
    <t>Остаток средст на проведение текущего ремонта по состоянию на 01.11.2017 г.</t>
  </si>
  <si>
    <t>перед собственниками помещений о выполнении договора управления многоквартирным домом за 2018 год</t>
  </si>
  <si>
    <t>Долг населения на 31.01.18 г.</t>
  </si>
  <si>
    <t>Долг населения на 31.01.2019 г.</t>
  </si>
  <si>
    <t>Остаток средст на проведение капитального ремонта по состоянию на 31.01.2019 г.</t>
  </si>
  <si>
    <t>Остаток средст на проведение текущего ремонта по состоянию на 31.01.2019 г.</t>
  </si>
  <si>
    <t>"      "                        2019 год</t>
  </si>
  <si>
    <t>4.44/4.60</t>
  </si>
  <si>
    <t>43.74/45.92</t>
  </si>
  <si>
    <t>1952.55/2034.54</t>
  </si>
  <si>
    <t>Обслуживание КПУ</t>
  </si>
  <si>
    <t>Поступило средств за 2018 г., руб.</t>
  </si>
  <si>
    <t>Выполнены работы за 2018 г., руб.</t>
  </si>
  <si>
    <t>Задолженность населения за 2018г.</t>
  </si>
  <si>
    <t>Начислено за 2018 г., руб.</t>
  </si>
  <si>
    <t>Кол-во</t>
  </si>
  <si>
    <t>Ед. изм.</t>
  </si>
  <si>
    <t>м</t>
  </si>
  <si>
    <t xml:space="preserve">Замена запорной арматуры ЦО в подвале </t>
  </si>
  <si>
    <t>Выполнены работы за 2018г., руб.</t>
  </si>
  <si>
    <t>кв.м.</t>
  </si>
  <si>
    <t>Замена труб канализации в техподполье</t>
  </si>
  <si>
    <t>Ремонт межпонельного шва</t>
  </si>
  <si>
    <t>Установка уличных светильников</t>
  </si>
  <si>
    <t>шт</t>
  </si>
  <si>
    <t>Содержание ОИ -эл/эн</t>
  </si>
  <si>
    <t>Установка светильников</t>
  </si>
  <si>
    <t>"      "                   2019 год</t>
  </si>
  <si>
    <t>Смена запорной арматуры на ЦО</t>
  </si>
  <si>
    <t>кв.м</t>
  </si>
  <si>
    <t>Ремонт надбалконных плит</t>
  </si>
  <si>
    <t>Смена трубопровода ХВС в подвале</t>
  </si>
  <si>
    <t>Долг населения на 31.01.2019г.</t>
  </si>
  <si>
    <t>Изоляция труб ЦО</t>
  </si>
  <si>
    <t>Замок навесной</t>
  </si>
  <si>
    <t>Замена фильтра на ЦО</t>
  </si>
  <si>
    <t>Замена межтамбурных перегородок с дверными блоками, облицовка дверных откосов в подъездах №1-4</t>
  </si>
  <si>
    <t>Работы по устройству напольного покрытия в тамбурах подъездов №1-4</t>
  </si>
  <si>
    <t>Замена светильников</t>
  </si>
  <si>
    <t>Смена радиаторов отопления кв.№59</t>
  </si>
  <si>
    <t>Смена труб ЦО кв.№15</t>
  </si>
  <si>
    <t>Вывоз веток</t>
  </si>
  <si>
    <t>рейс</t>
  </si>
  <si>
    <t>Остаток средст на проведение капитального ремонта по состоянию на 31.01.2018г.</t>
  </si>
  <si>
    <t>Остаток средст на проведение текущего ремонта по состоянию на 31.01.2018г.</t>
  </si>
  <si>
    <t>Смена запорной арматуры ГВС</t>
  </si>
  <si>
    <t>Смена стояка ГВС</t>
  </si>
  <si>
    <t>Смена светильников</t>
  </si>
  <si>
    <t>перед собственниками помещений о выполнении договора управления многоквартирным домом за 2018год</t>
  </si>
  <si>
    <t>Смена запорной арматуры стояков ГВС и ХВС</t>
  </si>
  <si>
    <t>Смена запорной арматуры системы ЦО</t>
  </si>
  <si>
    <t>Обрезка деревьев</t>
  </si>
  <si>
    <t>Смена запорной арматуры ЦО в подвале</t>
  </si>
  <si>
    <t>Смена запорной арматуры ХВС</t>
  </si>
  <si>
    <t>м3</t>
  </si>
  <si>
    <t>Ремонт песочницы</t>
  </si>
  <si>
    <t>Смена стекла в оконной раме под.№1</t>
  </si>
  <si>
    <t>м2</t>
  </si>
  <si>
    <t>БТИ обследование системы электрооборудования, фасада</t>
  </si>
  <si>
    <t>Ремонт входа в под. №4</t>
  </si>
  <si>
    <t>Установка поручня в под.№1</t>
  </si>
  <si>
    <t>Смена водосточных труб</t>
  </si>
  <si>
    <t>Смена запорной арматуры ЦО</t>
  </si>
  <si>
    <t>Смена труб канализации в подвале</t>
  </si>
  <si>
    <t>Установка ограждения вокруг теплосчетчика</t>
  </si>
  <si>
    <t>Смена автоматических выключателей</t>
  </si>
  <si>
    <t>Ремонт кровли</t>
  </si>
  <si>
    <t>Долг населения на 31.01.18г.</t>
  </si>
  <si>
    <t>Установка датчиков движения и смена уличных светильников</t>
  </si>
  <si>
    <t>Смена труб ХВС в подвале</t>
  </si>
  <si>
    <t>Тепловычислитель</t>
  </si>
  <si>
    <t>Утепление торцевых стен</t>
  </si>
  <si>
    <t>Покраска стола, крыши подвала, лавочек</t>
  </si>
  <si>
    <t>Ремонт водосточных труб</t>
  </si>
  <si>
    <t>Ремонт системы ХВС в подвале</t>
  </si>
  <si>
    <t>Ремонт кровли кв. №16.23.26</t>
  </si>
  <si>
    <t>Ремонт кровли кв. №56</t>
  </si>
  <si>
    <t>Смена труб ХВС на вводе</t>
  </si>
  <si>
    <t>Дезинсекция под.№2</t>
  </si>
  <si>
    <t>Восстановление отопления на лестничной клетке</t>
  </si>
  <si>
    <t>Омолаживающая обрезка кустарников и деревьев</t>
  </si>
  <si>
    <t>Устройство примыканий к вентканалам</t>
  </si>
  <si>
    <t xml:space="preserve">Лифт </t>
  </si>
  <si>
    <t>перед собственниками помещений о выполнении договора управления многоквартирным домом за 2019 год</t>
  </si>
  <si>
    <t>Ремонт шиферной кровли</t>
  </si>
  <si>
    <t>Ремонт свесов по парапетам</t>
  </si>
  <si>
    <t>Остекление оконных рам в подъезде №2</t>
  </si>
  <si>
    <t>Дератизация. Дезинсекция</t>
  </si>
  <si>
    <t>Восстановление изоляции труб ЦО</t>
  </si>
  <si>
    <t>Установка рам и остекленение</t>
  </si>
  <si>
    <t>Смена запорной арматуры и труб ЦО</t>
  </si>
  <si>
    <t xml:space="preserve">м </t>
  </si>
  <si>
    <t xml:space="preserve">Смена стояков ГВС и ХВС </t>
  </si>
  <si>
    <t>Смена трубопровода канализации в подвале подъезда №4</t>
  </si>
  <si>
    <t>Смена трубопровода канализации в подвале подъезда №2</t>
  </si>
  <si>
    <t>Смена труб канализации в подъезде №7,8</t>
  </si>
  <si>
    <t>Смена труб  ГВС</t>
  </si>
  <si>
    <t>Смена радиатора отопления</t>
  </si>
  <si>
    <t>Окраска ограждения, лавочек, балконов, бордюра</t>
  </si>
  <si>
    <t>Покраска бордюров, детской площадки</t>
  </si>
  <si>
    <t>Смена труб ГВС</t>
  </si>
  <si>
    <t>Смена оалотенцесушителя ГВС</t>
  </si>
  <si>
    <t>Сменатрубопровода ГВС в подвале</t>
  </si>
  <si>
    <t>Окраска стен</t>
  </si>
  <si>
    <t>Ящик почтовый</t>
  </si>
  <si>
    <t>Замена коррозированного фасада газопровода</t>
  </si>
  <si>
    <t>Устройство входной группы на дворовую территорию</t>
  </si>
  <si>
    <t>т</t>
  </si>
  <si>
    <t>Покраска бордюров</t>
  </si>
  <si>
    <t>Смена запорной арматуры ЦО, восстановление</t>
  </si>
  <si>
    <t xml:space="preserve">           3457.50 кв.м          </t>
  </si>
  <si>
    <t>Смена труб канализации</t>
  </si>
  <si>
    <t>Установка светильников на лестничной клетке 1этажа</t>
  </si>
  <si>
    <t>Демонтаж входной группы</t>
  </si>
  <si>
    <t>Установка светильников в подъезде №1-2</t>
  </si>
  <si>
    <t>Ремонт порогов</t>
  </si>
  <si>
    <t>Смена трансформатора тока в ВРУ</t>
  </si>
  <si>
    <t>Демонтаж балконной плиты</t>
  </si>
  <si>
    <t>Мусоропровод</t>
  </si>
  <si>
    <t>Смена трубопровода ЦО в подвале</t>
  </si>
  <si>
    <t>Дератизация</t>
  </si>
  <si>
    <t>Смена стояков ЦО</t>
  </si>
  <si>
    <t>Смена запорной арматуры ЦО на чердаке</t>
  </si>
  <si>
    <t>Побелка садовая</t>
  </si>
  <si>
    <t>кг</t>
  </si>
  <si>
    <t>Ремонт кровли, свесов</t>
  </si>
  <si>
    <t>Освещение подвала</t>
  </si>
  <si>
    <t>Светильник светодиодный</t>
  </si>
  <si>
    <t>Провод ПВХ 2*1.5</t>
  </si>
  <si>
    <t>Ремонт швов примыканий</t>
  </si>
  <si>
    <t>Смена стекол на лестничных клетках</t>
  </si>
  <si>
    <t>Ремонт входных групп</t>
  </si>
  <si>
    <t>Смена запорной арматуры ГВС в подвале</t>
  </si>
  <si>
    <t>Смена запорной арматуры ГВС кв.№35</t>
  </si>
  <si>
    <t>Остаток ср-в на 31.01.18г</t>
  </si>
  <si>
    <t>Начислено за 2018г., руб.</t>
  </si>
  <si>
    <t>Остаток ср-в на 31.01.2019г</t>
  </si>
  <si>
    <t>3.11/3.22</t>
  </si>
  <si>
    <t>25.95/27.25</t>
  </si>
  <si>
    <t>17.79/18.67</t>
  </si>
  <si>
    <t>1848.65/1926.26</t>
  </si>
  <si>
    <t>Устройство системы для полива газонов</t>
  </si>
  <si>
    <t>Хомуты металлические 11/12*20мм</t>
  </si>
  <si>
    <t>Перчатки хб с ПВХ 5н/10кл</t>
  </si>
  <si>
    <t>пара</t>
  </si>
  <si>
    <t>Колер Палитра №13 салатовый</t>
  </si>
  <si>
    <t>Кисть плоская Гранд</t>
  </si>
  <si>
    <t>Катушка для шланга малая 45 м</t>
  </si>
  <si>
    <t>Пистолет поливочный</t>
  </si>
  <si>
    <t>Шланг поливочный GRINDA "KOMFORT"</t>
  </si>
  <si>
    <t>Датчик движения ЭРА потолочный</t>
  </si>
  <si>
    <t xml:space="preserve">Ремонт лифтового оборудования </t>
  </si>
  <si>
    <t>Комплект -Арго Скамейка "Классика"</t>
  </si>
  <si>
    <t>Закрепление урны</t>
  </si>
  <si>
    <t>Замена запорных кранов и воздухоотводчиков на системе ГВС</t>
  </si>
  <si>
    <t>Начислено в 2018 г., руб.</t>
  </si>
  <si>
    <t>Задолженность населения за 2018 г.</t>
  </si>
  <si>
    <t>168.34/175.75</t>
  </si>
  <si>
    <t>141.27/147.45</t>
  </si>
  <si>
    <t>3.22/4.60</t>
  </si>
  <si>
    <t>Электроэнергия ипу, в т.ч. содерж. ОИ эл/эн</t>
  </si>
  <si>
    <t>Замена запорной арматуры на системе ЦО</t>
  </si>
  <si>
    <t>Щетинистое покрытие</t>
  </si>
  <si>
    <t>Ручка скоба РС-100 (полимер)</t>
  </si>
  <si>
    <t>Замена шкива ограничителя скорости</t>
  </si>
  <si>
    <t>Замена воздухоотводчика</t>
  </si>
  <si>
    <t>Замена участка канализационной трубы</t>
  </si>
  <si>
    <t>Замена участка фановой трубы в кв.№305м</t>
  </si>
  <si>
    <t>Замена кранов шаровых Ф-80 мм</t>
  </si>
  <si>
    <t>Замена кранов шаровых на системе ГВС</t>
  </si>
  <si>
    <t>Замена кранов шаровых на радиаторе ЦО</t>
  </si>
  <si>
    <t>Установка вакуумного клапана на канализационный стояк</t>
  </si>
  <si>
    <t>Замена кранов шаровых Ф-50 мм</t>
  </si>
  <si>
    <t>Замена радиаторов в подъездах №1.2.3</t>
  </si>
  <si>
    <t>Ручка-скоба РС-100 (полимер)</t>
  </si>
  <si>
    <t>Замена подшипников и сальников вала насоса в кл-ве 3 шт на повысительной станции ХВС</t>
  </si>
  <si>
    <t>Монтаж узла учета тепловой энергии</t>
  </si>
  <si>
    <t>Замена шкива ограничителя скорости на пассажирском лифте</t>
  </si>
  <si>
    <t>Замена участка труб канализационного стояка</t>
  </si>
  <si>
    <t>Демонтаж, монтаж отлива на кровле здания</t>
  </si>
  <si>
    <t>Ремонт деформационных швов</t>
  </si>
  <si>
    <t>Ремонт привода дверей кабины лифта</t>
  </si>
  <si>
    <t xml:space="preserve">Монтаж узла учета тепловой энергии </t>
  </si>
  <si>
    <t>Замена кранов шаровых на системе ЦО</t>
  </si>
  <si>
    <t>4.44/4.6</t>
  </si>
  <si>
    <t>118.61/150.29</t>
  </si>
  <si>
    <t>Замена сердцевины замка а электрощитовой</t>
  </si>
  <si>
    <t>БТИ обследование фасада и кровли</t>
  </si>
  <si>
    <t xml:space="preserve">      ул.Дубрава д.1</t>
  </si>
  <si>
    <t xml:space="preserve">           736.50 кв.м          </t>
  </si>
  <si>
    <t>Долг населения на 01.03.2018 г.</t>
  </si>
  <si>
    <t>Остаток средст на проведение текущего ремонта по состоянию на 01.03.2018 г.</t>
  </si>
  <si>
    <t xml:space="preserve">      ул.Дубрава д.2</t>
  </si>
  <si>
    <t xml:space="preserve">           721.20 кв.м          </t>
  </si>
  <si>
    <t>Замена участка трубы на системе ХВС</t>
  </si>
  <si>
    <t>Замена участка трубы на системе ЦО</t>
  </si>
  <si>
    <t>БТИ обследование фасада, отмостки, стен</t>
  </si>
  <si>
    <t xml:space="preserve">      ул.Дубрава д.1 а</t>
  </si>
  <si>
    <t xml:space="preserve">           78.4 кв.м          </t>
  </si>
  <si>
    <t>Долг населения на 01.05.2018 г.</t>
  </si>
  <si>
    <t>Остаток средст на проведение текущего ремонта по состоянию на 01.05.2018 г.</t>
  </si>
  <si>
    <t xml:space="preserve">      ул.Дубрава д. 4    </t>
  </si>
  <si>
    <t xml:space="preserve">           707.95 кв.м          </t>
  </si>
  <si>
    <t>Долг населения на 01.03.18 г.</t>
  </si>
  <si>
    <t>БТИ обследование фасада и крыши</t>
  </si>
  <si>
    <t>Замена участка трубы и запорной арматуры на системе ХВС</t>
  </si>
  <si>
    <t xml:space="preserve">      ул.Дубрава д. 5    </t>
  </si>
  <si>
    <t xml:space="preserve">           622.50 кв.м          </t>
  </si>
  <si>
    <t>Долг населения на 01.04.18 г.</t>
  </si>
  <si>
    <t>Остаток средст на проведение текущего ремонта по состоянию на 01.04.2018 г.</t>
  </si>
  <si>
    <t xml:space="preserve">      ул.Дубрава д. 6   </t>
  </si>
  <si>
    <t xml:space="preserve">           1277.90 кв.м          </t>
  </si>
  <si>
    <t>Долг населения на 01.02.2018 г.</t>
  </si>
  <si>
    <t>Остаток средст на проведение текущего ремонта по состоянию на 01.02.2018 г.</t>
  </si>
  <si>
    <t>Смена труб ЦО в подвале</t>
  </si>
  <si>
    <t>Омолаживающая обрезка дерева</t>
  </si>
  <si>
    <t>Ремонт газоходов и вентканалов в МЖД</t>
  </si>
  <si>
    <t xml:space="preserve">      ул.Дубрава д. 9    </t>
  </si>
  <si>
    <t xml:space="preserve">           1899.46 кв.м          </t>
  </si>
  <si>
    <t>Долг населения на 01.11.18 г.</t>
  </si>
  <si>
    <t>Замена стояка ХВС и полотенцесушителя</t>
  </si>
  <si>
    <t xml:space="preserve">      ул.Дубрава д. 11    </t>
  </si>
  <si>
    <t>Замена кранов на системе ГВС</t>
  </si>
  <si>
    <t xml:space="preserve">           3706.30 кв.м          </t>
  </si>
  <si>
    <t>1.65/10.00</t>
  </si>
  <si>
    <t>БТИ обследование фасада, системы ЦО, системы электроснабжения</t>
  </si>
  <si>
    <t>Замена кранов шаровых Ф-80мм</t>
  </si>
  <si>
    <t xml:space="preserve">      ул.Нефтебаза д.6</t>
  </si>
  <si>
    <t xml:space="preserve">          2381.30 кв.м          </t>
  </si>
  <si>
    <t>Сантехнические материалы</t>
  </si>
  <si>
    <t>Смена участка трубы ЦО в подвале</t>
  </si>
  <si>
    <t xml:space="preserve">Замена кранов шаровых </t>
  </si>
  <si>
    <t>Замена спускного крана в подвале на ЦО</t>
  </si>
  <si>
    <t>Замена участка трубы на системе ХВС в подвале</t>
  </si>
  <si>
    <t>163.94/172.88</t>
  </si>
  <si>
    <t>Смена участка трубы ХВС в подвале</t>
  </si>
  <si>
    <t>Смена участка трубы ХВС и ГВС в подвале</t>
  </si>
  <si>
    <t>Замена участка трубы ХВС в подвале</t>
  </si>
  <si>
    <t>Замена труб в подвале на системе ГВС и ХВС</t>
  </si>
  <si>
    <t>Ремонт труб центрального отопления</t>
  </si>
  <si>
    <t>Остаток средст на проведение текущего ремонта по состоянию на 01.12.2018 г.</t>
  </si>
  <si>
    <t>3. Отчет о фактически выполненных работах по ремонту общего имущества в многоквартирном доме на основании принятого решения 
собственниками помещений</t>
  </si>
  <si>
    <t>Смена светильника на л/к</t>
  </si>
  <si>
    <t>Установка датчика освещения над входной дверью</t>
  </si>
  <si>
    <t>Комплект уплотнения вала</t>
  </si>
  <si>
    <t>Комплект подшипников</t>
  </si>
  <si>
    <t>Замена подшипников и сальников вала насосов на повысительных станциях ХВС</t>
  </si>
  <si>
    <t>Укладка пенального покрытия крыльца</t>
  </si>
  <si>
    <t>Дорожка Malaga</t>
  </si>
  <si>
    <t>Пророжки русский профиль</t>
  </si>
  <si>
    <t>Установка виброкомпенсатора для насосной станции</t>
  </si>
  <si>
    <t>Уборка МОП</t>
  </si>
  <si>
    <t xml:space="preserve">      ул.Моторная д.30</t>
  </si>
  <si>
    <t xml:space="preserve">          2673.20 кв.м          </t>
  </si>
  <si>
    <t>Замена сгона на радиаторе</t>
  </si>
  <si>
    <t xml:space="preserve">      ул.Аэропортовская д.9</t>
  </si>
  <si>
    <t xml:space="preserve">         900.50 кв.м          </t>
  </si>
  <si>
    <t>Долг населения на 01.08.2018 г.</t>
  </si>
  <si>
    <t>Остаток средст на проведение текущего ремонта по состоянию на 01.08.2018 г.</t>
  </si>
  <si>
    <t xml:space="preserve">      ул.Грабцевское шоссе д.160</t>
  </si>
  <si>
    <t xml:space="preserve">         8435.60 кв.м          </t>
  </si>
  <si>
    <t>Долг населения на 01.02.18 г.</t>
  </si>
  <si>
    <t>Выведение труб ГВС и ХВС в подвале подъездах №1,4</t>
  </si>
  <si>
    <t xml:space="preserve">      ул.Хрустальная д.74</t>
  </si>
  <si>
    <t xml:space="preserve">        4567.40 кв.м          </t>
  </si>
  <si>
    <t>Долг населения на 01.08.18 г.</t>
  </si>
  <si>
    <t>175.34/183.05</t>
  </si>
  <si>
    <t>Ремонт полотенцесушителя</t>
  </si>
  <si>
    <t xml:space="preserve">      ул.Молодежная д.46</t>
  </si>
  <si>
    <t xml:space="preserve">       15264.20 кв.м          </t>
  </si>
  <si>
    <t>Долг населения на 01.10.18 г.</t>
  </si>
  <si>
    <t>Остаток средст на проведение текущего ремонта по состоянию на 01.10.2018 г.</t>
  </si>
  <si>
    <t>2036.60/2083.53</t>
  </si>
  <si>
    <t>Обслуживание ИТП</t>
  </si>
  <si>
    <t xml:space="preserve">Балансировочный клапан </t>
  </si>
  <si>
    <t>Энтомологическое обследование (насемкомые)</t>
  </si>
  <si>
    <t>ед.</t>
  </si>
  <si>
    <t>Установка клапана на системе ЦО</t>
  </si>
  <si>
    <t>Замена кранов шаровых на радиаторы ЦО в под.№1-7</t>
  </si>
  <si>
    <t xml:space="preserve">      ул.Грабцевское шоссе д.132 корп.1</t>
  </si>
  <si>
    <t xml:space="preserve">       9170.90 кв.м          </t>
  </si>
  <si>
    <t>Обслуживание котельной (ср-во для промывки)</t>
  </si>
  <si>
    <t>Замена участка ливневой трубы</t>
  </si>
  <si>
    <t>Замена оконных блоков на лестничных клетках</t>
  </si>
  <si>
    <t>Замена системы ХВС</t>
  </si>
  <si>
    <t>165.58/172.88</t>
  </si>
  <si>
    <t>Проектные, монтажные и пусконаладочные работы по установке узла учета ТЭ</t>
  </si>
  <si>
    <t>Замена окон</t>
  </si>
  <si>
    <t>Капитальный ремонт общего имущества (субсидия)</t>
  </si>
  <si>
    <t>Ремонт отопления и вентиляции</t>
  </si>
  <si>
    <t xml:space="preserve">Капитальный ремонт общего имущества </t>
  </si>
  <si>
    <t>Установка ограничения системы доступа "Домофон"</t>
  </si>
  <si>
    <t>Установка металлических конструкций и системы "Аудио Домофон"</t>
  </si>
  <si>
    <t>1346.52/1397.72</t>
  </si>
  <si>
    <t>Налог 1%</t>
  </si>
  <si>
    <t>Налог 1% от суммы оплаты</t>
  </si>
  <si>
    <t>1.16.</t>
  </si>
  <si>
    <t>Счетчик</t>
  </si>
  <si>
    <t>Урна уличная</t>
  </si>
  <si>
    <t>Краска</t>
  </si>
  <si>
    <t>Ремонт цоколя</t>
  </si>
  <si>
    <t>Ремонт порогов под.№1-3</t>
  </si>
  <si>
    <t>Утепление наружных стен в кв.№11.22</t>
  </si>
  <si>
    <t>Ремонт порогов под.№2-4</t>
  </si>
  <si>
    <t>Покраска газовой трубы</t>
  </si>
  <si>
    <t>Окраска сушилки для белья</t>
  </si>
  <si>
    <t>Окраска ограждения</t>
  </si>
  <si>
    <t>Ремонт пола</t>
  </si>
  <si>
    <t>Фильтр магнитный ФМ-80</t>
  </si>
  <si>
    <t>Изготовление проектной документации</t>
  </si>
  <si>
    <t>Ремонт межпанельных швов</t>
  </si>
  <si>
    <t>Ремонт балконных плит кв.№7.8.28</t>
  </si>
  <si>
    <t>Ремонт балконных плит кв.№5</t>
  </si>
  <si>
    <t>Ремонт плиты лоджии</t>
  </si>
  <si>
    <t>Ремонт порога под.№4</t>
  </si>
  <si>
    <t>Ремонт надбалконного козырька кв.№53</t>
  </si>
  <si>
    <t xml:space="preserve">Ремонт лестничных клеток </t>
  </si>
  <si>
    <t xml:space="preserve">Краска (покраска поручней) </t>
  </si>
  <si>
    <t>Краска (покраска подъезда на 4эт)</t>
  </si>
  <si>
    <t>Ремонт балкона</t>
  </si>
  <si>
    <t>Ремонт откосов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</si>
</sst>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0000"/>
    <numFmt numFmtId="166" formatCode="#,##0.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vertical="top"/>
    </xf>
    <xf numFmtId="0" fontId="9" fillId="0" borderId="0" xfId="0" applyFont="1" applyAlignment="1"/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11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3" fillId="0" borderId="0" xfId="0" applyFont="1" applyAlignment="1"/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/>
    <xf numFmtId="2" fontId="7" fillId="0" borderId="1" xfId="0" applyNumberFormat="1" applyFont="1" applyBorder="1" applyAlignment="1">
      <alignment wrapText="1"/>
    </xf>
    <xf numFmtId="0" fontId="10" fillId="0" borderId="0" xfId="0" applyFont="1" applyAlignment="1"/>
    <xf numFmtId="0" fontId="11" fillId="0" borderId="1" xfId="0" applyFont="1" applyBorder="1" applyAlignment="1">
      <alignment wrapText="1"/>
    </xf>
    <xf numFmtId="0" fontId="7" fillId="0" borderId="0" xfId="0" applyFont="1" applyAlignment="1">
      <alignment vertical="top"/>
    </xf>
    <xf numFmtId="164" fontId="1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164" fontId="10" fillId="0" borderId="2" xfId="0" applyNumberFormat="1" applyFont="1" applyBorder="1" applyAlignment="1"/>
    <xf numFmtId="0" fontId="10" fillId="0" borderId="0" xfId="0" applyFont="1" applyBorder="1" applyAlignment="1"/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164" fontId="10" fillId="0" borderId="0" xfId="0" applyNumberFormat="1" applyFont="1" applyBorder="1" applyAlignment="1"/>
    <xf numFmtId="0" fontId="14" fillId="0" borderId="4" xfId="0" applyFont="1" applyBorder="1" applyAlignment="1">
      <alignment horizontal="left"/>
    </xf>
    <xf numFmtId="164" fontId="10" fillId="0" borderId="4" xfId="0" applyNumberFormat="1" applyFont="1" applyBorder="1" applyAlignment="1"/>
    <xf numFmtId="0" fontId="10" fillId="0" borderId="4" xfId="0" applyFont="1" applyBorder="1" applyAlignment="1"/>
    <xf numFmtId="0" fontId="13" fillId="0" borderId="0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164" fontId="16" fillId="0" borderId="0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0" fontId="12" fillId="0" borderId="6" xfId="0" applyFont="1" applyBorder="1" applyAlignment="1"/>
    <xf numFmtId="164" fontId="6" fillId="0" borderId="5" xfId="0" applyNumberFormat="1" applyFont="1" applyBorder="1" applyAlignment="1">
      <alignment wrapText="1"/>
    </xf>
    <xf numFmtId="0" fontId="0" fillId="0" borderId="6" xfId="0" applyBorder="1" applyAlignment="1"/>
    <xf numFmtId="164" fontId="7" fillId="0" borderId="5" xfId="0" applyNumberFormat="1" applyFont="1" applyBorder="1" applyAlignment="1"/>
    <xf numFmtId="164" fontId="7" fillId="0" borderId="6" xfId="0" applyNumberFormat="1" applyFont="1" applyBorder="1" applyAlignment="1"/>
    <xf numFmtId="2" fontId="7" fillId="0" borderId="0" xfId="0" applyNumberFormat="1" applyFont="1" applyAlignment="1"/>
    <xf numFmtId="0" fontId="7" fillId="2" borderId="0" xfId="0" applyFont="1" applyFill="1" applyAlignment="1"/>
    <xf numFmtId="2" fontId="1" fillId="0" borderId="0" xfId="0" applyNumberFormat="1" applyFont="1" applyAlignment="1"/>
    <xf numFmtId="164" fontId="17" fillId="0" borderId="2" xfId="0" applyNumberFormat="1" applyFont="1" applyBorder="1" applyAlignment="1"/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wrapText="1"/>
    </xf>
    <xf numFmtId="4" fontId="7" fillId="0" borderId="0" xfId="0" applyNumberFormat="1" applyFont="1" applyAlignment="1"/>
    <xf numFmtId="4" fontId="9" fillId="0" borderId="0" xfId="0" applyNumberFormat="1" applyFont="1" applyAlignment="1"/>
    <xf numFmtId="0" fontId="7" fillId="3" borderId="0" xfId="0" applyFont="1" applyFill="1" applyAlignment="1">
      <alignment wrapText="1"/>
    </xf>
    <xf numFmtId="164" fontId="10" fillId="3" borderId="2" xfId="0" applyNumberFormat="1" applyFont="1" applyFill="1" applyBorder="1" applyAlignment="1"/>
    <xf numFmtId="164" fontId="7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0" fontId="11" fillId="0" borderId="0" xfId="0" applyFont="1" applyBorder="1" applyAlignment="1">
      <alignment horizontal="left" wrapText="1"/>
    </xf>
    <xf numFmtId="164" fontId="7" fillId="3" borderId="2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/>
    <xf numFmtId="2" fontId="19" fillId="0" borderId="0" xfId="0" applyNumberFormat="1" applyFont="1" applyBorder="1" applyAlignment="1">
      <alignment wrapText="1"/>
    </xf>
    <xf numFmtId="0" fontId="7" fillId="0" borderId="0" xfId="0" applyFont="1" applyBorder="1" applyAlignment="1"/>
    <xf numFmtId="0" fontId="7" fillId="0" borderId="4" xfId="0" applyFont="1" applyBorder="1" applyAlignment="1"/>
    <xf numFmtId="0" fontId="16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/>
    <xf numFmtId="164" fontId="7" fillId="0" borderId="4" xfId="0" applyNumberFormat="1" applyFont="1" applyBorder="1" applyAlignment="1"/>
    <xf numFmtId="4" fontId="7" fillId="0" borderId="1" xfId="0" applyNumberFormat="1" applyFont="1" applyBorder="1" applyAlignment="1">
      <alignment wrapText="1"/>
    </xf>
    <xf numFmtId="164" fontId="7" fillId="0" borderId="2" xfId="0" applyNumberFormat="1" applyFont="1" applyBorder="1" applyAlignment="1"/>
    <xf numFmtId="164" fontId="7" fillId="0" borderId="0" xfId="0" applyNumberFormat="1" applyFont="1" applyFill="1" applyBorder="1" applyAlignment="1">
      <alignment horizontal="left" wrapText="1"/>
    </xf>
    <xf numFmtId="0" fontId="20" fillId="0" borderId="1" xfId="0" applyFont="1" applyBorder="1" applyAlignment="1">
      <alignment wrapText="1"/>
    </xf>
    <xf numFmtId="4" fontId="20" fillId="0" borderId="1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1" fillId="0" borderId="0" xfId="0" applyFont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164" fontId="7" fillId="0" borderId="2" xfId="0" applyNumberFormat="1" applyFont="1" applyFill="1" applyBorder="1" applyAlignment="1"/>
    <xf numFmtId="4" fontId="17" fillId="0" borderId="1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65" fontId="1" fillId="0" borderId="0" xfId="0" applyNumberFormat="1" applyFont="1" applyAlignment="1">
      <alignment wrapText="1"/>
    </xf>
    <xf numFmtId="0" fontId="20" fillId="0" borderId="1" xfId="0" applyFont="1" applyBorder="1" applyAlignment="1">
      <alignment horizontal="left" wrapText="1"/>
    </xf>
    <xf numFmtId="4" fontId="17" fillId="3" borderId="1" xfId="0" applyNumberFormat="1" applyFont="1" applyFill="1" applyBorder="1" applyAlignment="1">
      <alignment wrapText="1"/>
    </xf>
    <xf numFmtId="4" fontId="22" fillId="0" borderId="1" xfId="0" applyNumberFormat="1" applyFont="1" applyBorder="1" applyAlignment="1">
      <alignment wrapText="1"/>
    </xf>
    <xf numFmtId="0" fontId="22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/>
    <xf numFmtId="4" fontId="2" fillId="0" borderId="0" xfId="0" applyNumberFormat="1" applyFont="1" applyAlignment="1"/>
    <xf numFmtId="4" fontId="10" fillId="0" borderId="2" xfId="0" applyNumberFormat="1" applyFont="1" applyBorder="1" applyAlignment="1"/>
    <xf numFmtId="4" fontId="10" fillId="0" borderId="0" xfId="0" applyNumberFormat="1" applyFont="1" applyBorder="1" applyAlignment="1"/>
    <xf numFmtId="4" fontId="14" fillId="0" borderId="0" xfId="0" applyNumberFormat="1" applyFont="1" applyBorder="1" applyAlignment="1">
      <alignment horizontal="left"/>
    </xf>
    <xf numFmtId="4" fontId="14" fillId="0" borderId="4" xfId="0" applyNumberFormat="1" applyFont="1" applyBorder="1" applyAlignment="1">
      <alignment horizontal="left"/>
    </xf>
    <xf numFmtId="4" fontId="10" fillId="0" borderId="4" xfId="0" applyNumberFormat="1" applyFont="1" applyBorder="1" applyAlignme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8" fillId="0" borderId="0" xfId="0" applyNumberFormat="1" applyFont="1" applyAlignment="1">
      <alignment vertical="top"/>
    </xf>
    <xf numFmtId="4" fontId="10" fillId="4" borderId="1" xfId="0" applyNumberFormat="1" applyFont="1" applyFill="1" applyBorder="1" applyAlignment="1">
      <alignment wrapText="1"/>
    </xf>
    <xf numFmtId="4" fontId="17" fillId="4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17" fillId="0" borderId="0" xfId="0" applyNumberFormat="1" applyFont="1" applyBorder="1" applyAlignment="1"/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64" fontId="7" fillId="0" borderId="7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64" fontId="7" fillId="0" borderId="7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5" fillId="0" borderId="0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4" fontId="10" fillId="0" borderId="0" xfId="0" applyNumberFormat="1" applyFont="1" applyAlignment="1"/>
    <xf numFmtId="0" fontId="5" fillId="0" borderId="1" xfId="0" applyFont="1" applyBorder="1" applyAlignment="1"/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/>
    <xf numFmtId="4" fontId="4" fillId="0" borderId="1" xfId="0" applyNumberFormat="1" applyFont="1" applyBorder="1" applyAlignment="1">
      <alignment wrapText="1"/>
    </xf>
    <xf numFmtId="4" fontId="5" fillId="0" borderId="0" xfId="0" applyNumberFormat="1" applyFont="1" applyAlignment="1"/>
    <xf numFmtId="0" fontId="5" fillId="0" borderId="0" xfId="0" applyFont="1" applyAlignment="1"/>
    <xf numFmtId="2" fontId="5" fillId="0" borderId="0" xfId="0" applyNumberFormat="1" applyFont="1" applyAlignment="1"/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6" fillId="0" borderId="1" xfId="0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/>
    <xf numFmtId="4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Alignment="1"/>
    <xf numFmtId="0" fontId="4" fillId="0" borderId="0" xfId="0" applyFont="1" applyAlignment="1"/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4" fontId="22" fillId="3" borderId="1" xfId="0" applyNumberFormat="1" applyFont="1" applyFill="1" applyBorder="1" applyAlignment="1">
      <alignment wrapText="1"/>
    </xf>
    <xf numFmtId="164" fontId="7" fillId="0" borderId="7" xfId="0" applyNumberFormat="1" applyFont="1" applyFill="1" applyBorder="1" applyAlignment="1">
      <alignment wrapText="1"/>
    </xf>
    <xf numFmtId="164" fontId="10" fillId="0" borderId="5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4" fontId="17" fillId="4" borderId="1" xfId="0" applyNumberFormat="1" applyFont="1" applyFill="1" applyBorder="1" applyAlignment="1">
      <alignment horizontal="center" vertical="center"/>
    </xf>
    <xf numFmtId="4" fontId="25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4" fontId="7" fillId="0" borderId="7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166" fontId="7" fillId="0" borderId="1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4" fillId="0" borderId="0" xfId="0" applyNumberFormat="1" applyFont="1" applyAlignment="1">
      <alignment wrapText="1"/>
    </xf>
    <xf numFmtId="4" fontId="7" fillId="4" borderId="1" xfId="0" applyNumberFormat="1" applyFont="1" applyFill="1" applyBorder="1" applyAlignment="1">
      <alignment horizontal="right" wrapText="1"/>
    </xf>
    <xf numFmtId="4" fontId="17" fillId="4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wrapText="1"/>
    </xf>
    <xf numFmtId="0" fontId="24" fillId="0" borderId="0" xfId="0" applyFont="1"/>
    <xf numFmtId="0" fontId="4" fillId="0" borderId="1" xfId="0" applyFont="1" applyBorder="1" applyAlignment="1">
      <alignment horizontal="center" vertical="center" wrapText="1"/>
    </xf>
    <xf numFmtId="164" fontId="10" fillId="3" borderId="0" xfId="0" applyNumberFormat="1" applyFont="1" applyFill="1" applyBorder="1" applyAlignment="1"/>
    <xf numFmtId="4" fontId="5" fillId="4" borderId="1" xfId="0" applyNumberFormat="1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4" borderId="1" xfId="0" applyNumberFormat="1" applyFont="1" applyFill="1" applyBorder="1" applyAlignment="1">
      <alignment horizontal="right"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wrapText="1"/>
    </xf>
    <xf numFmtId="0" fontId="0" fillId="0" borderId="0" xfId="0" applyBorder="1" applyAlignment="1"/>
    <xf numFmtId="4" fontId="4" fillId="3" borderId="1" xfId="0" applyNumberFormat="1" applyFont="1" applyFill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164" fontId="7" fillId="0" borderId="7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164" fontId="7" fillId="0" borderId="0" xfId="0" applyNumberFormat="1" applyFont="1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6" fillId="0" borderId="7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4" fontId="7" fillId="0" borderId="7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164" fontId="7" fillId="0" borderId="6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4" fontId="7" fillId="0" borderId="7" xfId="0" applyNumberFormat="1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left" wrapText="1"/>
    </xf>
    <xf numFmtId="164" fontId="7" fillId="0" borderId="6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4" fontId="0" fillId="0" borderId="1" xfId="0" applyNumberFormat="1" applyBorder="1"/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" fontId="16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0" fillId="0" borderId="6" xfId="0" applyBorder="1"/>
    <xf numFmtId="4" fontId="6" fillId="0" borderId="7" xfId="0" applyNumberFormat="1" applyFont="1" applyBorder="1" applyAlignment="1">
      <alignment horizontal="center" wrapText="1"/>
    </xf>
    <xf numFmtId="4" fontId="0" fillId="0" borderId="6" xfId="0" applyNumberFormat="1" applyBorder="1"/>
    <xf numFmtId="164" fontId="8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8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left" vertical="center" wrapText="1"/>
    </xf>
    <xf numFmtId="164" fontId="7" fillId="0" borderId="6" xfId="0" applyNumberFormat="1" applyFont="1" applyBorder="1" applyAlignment="1">
      <alignment horizontal="left" vertical="center" wrapText="1"/>
    </xf>
    <xf numFmtId="164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164" fontId="7" fillId="0" borderId="7" xfId="0" applyNumberFormat="1" applyFont="1" applyFill="1" applyBorder="1" applyAlignment="1">
      <alignment horizontal="left" wrapText="1"/>
    </xf>
    <xf numFmtId="164" fontId="10" fillId="0" borderId="6" xfId="0" applyNumberFormat="1" applyFont="1" applyFill="1" applyBorder="1" applyAlignment="1">
      <alignment horizontal="left" wrapText="1"/>
    </xf>
    <xf numFmtId="164" fontId="8" fillId="0" borderId="7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7" fillId="0" borderId="7" xfId="0" applyNumberFormat="1" applyFont="1" applyFill="1" applyBorder="1" applyAlignment="1">
      <alignment wrapText="1"/>
    </xf>
    <xf numFmtId="164" fontId="10" fillId="0" borderId="6" xfId="0" applyNumberFormat="1" applyFont="1" applyFill="1" applyBorder="1" applyAlignment="1">
      <alignment wrapText="1"/>
    </xf>
    <xf numFmtId="164" fontId="7" fillId="0" borderId="6" xfId="0" applyNumberFormat="1" applyFont="1" applyFill="1" applyBorder="1" applyAlignment="1">
      <alignment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4" fillId="0" borderId="4" xfId="0" applyFont="1" applyBorder="1" applyAlignment="1"/>
    <xf numFmtId="164" fontId="7" fillId="0" borderId="1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26" fillId="0" borderId="6" xfId="0" applyFont="1" applyBorder="1"/>
    <xf numFmtId="0" fontId="5" fillId="0" borderId="4" xfId="0" applyFont="1" applyBorder="1" applyAlignment="1">
      <alignment horizontal="left"/>
    </xf>
    <xf numFmtId="164" fontId="1" fillId="0" borderId="7" xfId="0" applyNumberFormat="1" applyFont="1" applyBorder="1" applyAlignment="1">
      <alignment horizontal="center" wrapText="1"/>
    </xf>
    <xf numFmtId="0" fontId="0" fillId="0" borderId="6" xfId="0" applyFont="1" applyBorder="1"/>
    <xf numFmtId="0" fontId="11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164" fontId="11" fillId="0" borderId="7" xfId="0" applyNumberFormat="1" applyFont="1" applyBorder="1" applyAlignment="1">
      <alignment horizontal="center" wrapText="1"/>
    </xf>
    <xf numFmtId="0" fontId="12" fillId="0" borderId="6" xfId="0" applyFont="1" applyBorder="1"/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left" wrapText="1"/>
    </xf>
    <xf numFmtId="0" fontId="1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left" wrapText="1"/>
    </xf>
    <xf numFmtId="164" fontId="7" fillId="0" borderId="6" xfId="0" applyNumberFormat="1" applyFont="1" applyFill="1" applyBorder="1" applyAlignment="1">
      <alignment horizontal="left" wrapText="1"/>
    </xf>
    <xf numFmtId="164" fontId="8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Normal="100" workbookViewId="0">
      <selection activeCell="B14" sqref="B14"/>
    </sheetView>
  </sheetViews>
  <sheetFormatPr defaultRowHeight="12.75" outlineLevelCol="2" x14ac:dyDescent="0.2"/>
  <cols>
    <col min="1" max="1" width="3.5703125" style="23" customWidth="1"/>
    <col min="2" max="2" width="40.42578125" style="23" customWidth="1"/>
    <col min="3" max="3" width="14.5703125" style="153" customWidth="1"/>
    <col min="4" max="4" width="14.85546875" style="23" customWidth="1"/>
    <col min="5" max="5" width="13.28515625" style="23" customWidth="1"/>
    <col min="6" max="6" width="13.140625" style="23" customWidth="1"/>
    <col min="7" max="7" width="14.5703125" style="23" customWidth="1"/>
    <col min="8" max="9" width="11.5703125" style="23" hidden="1" customWidth="1" outlineLevel="2"/>
    <col min="10" max="10" width="10.140625" style="23" hidden="1" customWidth="1" outlineLevel="2"/>
    <col min="11" max="11" width="10.42578125" style="23" hidden="1" customWidth="1" outlineLevel="2"/>
    <col min="12" max="13" width="9.140625" style="23" hidden="1" customWidth="1" outlineLevel="2"/>
    <col min="14" max="14" width="9.140625" style="23" hidden="1" customWidth="1" outlineLevel="1" collapsed="1"/>
    <col min="15" max="15" width="10" style="23" hidden="1" customWidth="1" outlineLevel="1"/>
    <col min="16" max="16" width="15.85546875" style="23" customWidth="1" collapsed="1"/>
    <col min="17" max="16384" width="9.140625" style="23"/>
  </cols>
  <sheetData>
    <row r="1" spans="1:11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">
      <c r="A4" s="24"/>
      <c r="B4" s="24"/>
      <c r="D4" s="24"/>
      <c r="E4" s="24"/>
      <c r="F4" s="24"/>
      <c r="G4" s="24"/>
      <c r="H4" s="24"/>
      <c r="I4" s="24"/>
      <c r="J4" s="24"/>
      <c r="K4" s="24"/>
    </row>
    <row r="5" spans="1:11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1" s="25" customFormat="1" ht="16.5" customHeight="1" x14ac:dyDescent="0.2">
      <c r="A7" s="25" t="s">
        <v>2</v>
      </c>
      <c r="C7" s="154"/>
      <c r="F7" s="26" t="s">
        <v>53</v>
      </c>
      <c r="H7" s="26"/>
    </row>
    <row r="8" spans="1:11" s="25" customFormat="1" x14ac:dyDescent="0.2">
      <c r="A8" s="25" t="s">
        <v>3</v>
      </c>
      <c r="C8" s="154"/>
      <c r="F8" s="26" t="s">
        <v>158</v>
      </c>
      <c r="H8" s="26"/>
    </row>
    <row r="9" spans="1:11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s="15" customFormat="1" ht="16.5" customHeight="1" thickBot="1" x14ac:dyDescent="0.3">
      <c r="A12" s="287" t="s">
        <v>240</v>
      </c>
      <c r="B12" s="288"/>
      <c r="C12" s="288"/>
      <c r="D12" s="73">
        <v>769660.36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155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87" t="s">
        <v>214</v>
      </c>
      <c r="B14" s="43"/>
      <c r="C14" s="156"/>
      <c r="D14" s="44"/>
      <c r="E14" s="45"/>
      <c r="F14" s="45"/>
      <c r="G14" s="73">
        <v>-68810.100000000006</v>
      </c>
      <c r="H14" s="40"/>
      <c r="I14" s="40"/>
    </row>
    <row r="15" spans="1:11" s="15" customFormat="1" ht="15.75" thickBot="1" x14ac:dyDescent="0.3">
      <c r="A15" s="142" t="s">
        <v>215</v>
      </c>
      <c r="B15" s="143"/>
      <c r="C15" s="156"/>
      <c r="D15" s="44"/>
      <c r="E15" s="45"/>
      <c r="F15" s="45"/>
      <c r="G15" s="73">
        <v>36065.14</v>
      </c>
      <c r="H15" s="40"/>
      <c r="I15" s="40"/>
    </row>
    <row r="16" spans="1:11" s="25" customFormat="1" ht="6.75" customHeight="1" x14ac:dyDescent="0.2">
      <c r="C16" s="154"/>
    </row>
    <row r="17" spans="1:16" s="18" customFormat="1" ht="38.25" x14ac:dyDescent="0.25">
      <c r="A17" s="6" t="s">
        <v>11</v>
      </c>
      <c r="B17" s="6" t="s">
        <v>12</v>
      </c>
      <c r="C17" s="6" t="s">
        <v>103</v>
      </c>
      <c r="D17" s="6" t="s">
        <v>252</v>
      </c>
      <c r="E17" s="6" t="s">
        <v>249</v>
      </c>
      <c r="F17" s="17" t="s">
        <v>250</v>
      </c>
      <c r="G17" s="6" t="s">
        <v>251</v>
      </c>
    </row>
    <row r="18" spans="1:16" s="168" customFormat="1" ht="14.25" x14ac:dyDescent="0.2">
      <c r="A18" s="163" t="s">
        <v>14</v>
      </c>
      <c r="B18" s="36" t="s">
        <v>15</v>
      </c>
      <c r="C18" s="164">
        <f>C19+C20+C21+C22</f>
        <v>8.9599999999999991</v>
      </c>
      <c r="D18" s="165">
        <v>259986.6</v>
      </c>
      <c r="E18" s="165">
        <v>252218.55</v>
      </c>
      <c r="F18" s="165">
        <f>D18</f>
        <v>259986.6</v>
      </c>
      <c r="G18" s="166">
        <f>E18-D18</f>
        <v>-7768.0500000000175</v>
      </c>
      <c r="H18" s="167">
        <f>C18</f>
        <v>8.9599999999999991</v>
      </c>
      <c r="O18" s="167"/>
      <c r="P18" s="169"/>
    </row>
    <row r="19" spans="1:16" s="25" customFormat="1" ht="15" x14ac:dyDescent="0.25">
      <c r="A19" s="27" t="s">
        <v>16</v>
      </c>
      <c r="B19" s="28" t="s">
        <v>17</v>
      </c>
      <c r="C19" s="157">
        <v>3.08</v>
      </c>
      <c r="D19" s="67">
        <f>D18*I19</f>
        <v>89370.393750000017</v>
      </c>
      <c r="E19" s="67">
        <f>E18*I19</f>
        <v>86700.126562500009</v>
      </c>
      <c r="F19" s="67">
        <f>D19</f>
        <v>89370.393750000017</v>
      </c>
      <c r="G19" s="68">
        <f t="shared" ref="G19:G27" si="0">E19-D19</f>
        <v>-2670.2671875000087</v>
      </c>
      <c r="H19" s="162">
        <f>C19</f>
        <v>3.08</v>
      </c>
      <c r="I19" s="32">
        <f>H19/H18</f>
        <v>0.34375000000000006</v>
      </c>
    </row>
    <row r="20" spans="1:16" s="25" customFormat="1" ht="15" x14ac:dyDescent="0.25">
      <c r="A20" s="27" t="s">
        <v>18</v>
      </c>
      <c r="B20" s="28" t="s">
        <v>19</v>
      </c>
      <c r="C20" s="157">
        <v>1.47</v>
      </c>
      <c r="D20" s="67">
        <f>D18*I20</f>
        <v>42654.051562500012</v>
      </c>
      <c r="E20" s="67">
        <f>E18*I20</f>
        <v>41379.605859375006</v>
      </c>
      <c r="F20" s="67">
        <f>D20</f>
        <v>42654.051562500012</v>
      </c>
      <c r="G20" s="68">
        <f t="shared" si="0"/>
        <v>-1274.4457031250058</v>
      </c>
      <c r="H20" s="162">
        <f t="shared" ref="H20:H22" si="1">C20</f>
        <v>1.47</v>
      </c>
      <c r="I20" s="32">
        <f>H20/H18</f>
        <v>0.16406250000000003</v>
      </c>
    </row>
    <row r="21" spans="1:16" s="25" customFormat="1" ht="15" x14ac:dyDescent="0.25">
      <c r="A21" s="27" t="s">
        <v>20</v>
      </c>
      <c r="B21" s="28" t="s">
        <v>21</v>
      </c>
      <c r="C21" s="157">
        <v>1.81</v>
      </c>
      <c r="D21" s="67">
        <f>D18*I21</f>
        <v>52519.614508928578</v>
      </c>
      <c r="E21" s="67">
        <f>E18*I21</f>
        <v>50950.399051339293</v>
      </c>
      <c r="F21" s="67">
        <f>D21</f>
        <v>52519.614508928578</v>
      </c>
      <c r="G21" s="68">
        <f t="shared" si="0"/>
        <v>-1569.2154575892855</v>
      </c>
      <c r="H21" s="162">
        <f t="shared" si="1"/>
        <v>1.81</v>
      </c>
      <c r="I21" s="32">
        <f>H21/H18</f>
        <v>0.2020089285714286</v>
      </c>
    </row>
    <row r="22" spans="1:16" s="25" customFormat="1" ht="15" x14ac:dyDescent="0.25">
      <c r="A22" s="27" t="s">
        <v>22</v>
      </c>
      <c r="B22" s="28" t="s">
        <v>23</v>
      </c>
      <c r="C22" s="157">
        <v>2.6</v>
      </c>
      <c r="D22" s="67">
        <f>D18*I22</f>
        <v>75442.540178571435</v>
      </c>
      <c r="E22" s="67">
        <f>E18*I22</f>
        <v>73188.41852678571</v>
      </c>
      <c r="F22" s="67">
        <f>D22</f>
        <v>75442.540178571435</v>
      </c>
      <c r="G22" s="68">
        <f t="shared" si="0"/>
        <v>-2254.1216517857247</v>
      </c>
      <c r="H22" s="162">
        <f t="shared" si="1"/>
        <v>2.6</v>
      </c>
      <c r="I22" s="32">
        <f>H22/H18</f>
        <v>0.29017857142857145</v>
      </c>
    </row>
    <row r="23" spans="1:16" s="173" customFormat="1" ht="14.25" x14ac:dyDescent="0.2">
      <c r="A23" s="170" t="s">
        <v>25</v>
      </c>
      <c r="B23" s="170" t="s">
        <v>26</v>
      </c>
      <c r="C23" s="171">
        <v>0</v>
      </c>
      <c r="D23" s="172">
        <v>0</v>
      </c>
      <c r="E23" s="172">
        <v>0</v>
      </c>
      <c r="F23" s="172">
        <v>0</v>
      </c>
      <c r="G23" s="172">
        <f t="shared" si="0"/>
        <v>0</v>
      </c>
    </row>
    <row r="24" spans="1:16" s="173" customFormat="1" ht="14.25" x14ac:dyDescent="0.2">
      <c r="A24" s="170" t="s">
        <v>27</v>
      </c>
      <c r="B24" s="170" t="s">
        <v>28</v>
      </c>
      <c r="C24" s="171">
        <v>4.5999999999999996</v>
      </c>
      <c r="D24" s="172">
        <v>133534.32</v>
      </c>
      <c r="E24" s="172">
        <v>129236.35</v>
      </c>
      <c r="F24" s="172">
        <f>D24</f>
        <v>133534.32</v>
      </c>
      <c r="G24" s="172">
        <f t="shared" si="0"/>
        <v>-4297.9700000000012</v>
      </c>
    </row>
    <row r="25" spans="1:16" s="173" customFormat="1" ht="14.25" x14ac:dyDescent="0.2">
      <c r="A25" s="170" t="s">
        <v>29</v>
      </c>
      <c r="B25" s="170" t="s">
        <v>248</v>
      </c>
      <c r="C25" s="171">
        <v>1755.25</v>
      </c>
      <c r="D25" s="172">
        <v>12403.67</v>
      </c>
      <c r="E25" s="172">
        <v>11632.3</v>
      </c>
      <c r="F25" s="172">
        <f>D25</f>
        <v>12403.67</v>
      </c>
      <c r="G25" s="172">
        <f t="shared" si="0"/>
        <v>-771.3700000000008</v>
      </c>
    </row>
    <row r="26" spans="1:16" s="173" customFormat="1" ht="14.25" x14ac:dyDescent="0.2">
      <c r="A26" s="170" t="s">
        <v>31</v>
      </c>
      <c r="B26" s="170" t="s">
        <v>132</v>
      </c>
      <c r="C26" s="171">
        <v>1.82</v>
      </c>
      <c r="D26" s="172">
        <v>52792.44</v>
      </c>
      <c r="E26" s="172">
        <v>53023.4</v>
      </c>
      <c r="F26" s="172">
        <f>G42</f>
        <v>8277.844000000001</v>
      </c>
      <c r="G26" s="172">
        <f>E26-D26</f>
        <v>230.95999999999913</v>
      </c>
    </row>
    <row r="27" spans="1:16" s="37" customFormat="1" ht="14.25" x14ac:dyDescent="0.2">
      <c r="A27" s="36" t="s">
        <v>33</v>
      </c>
      <c r="B27" s="36" t="s">
        <v>34</v>
      </c>
      <c r="C27" s="279">
        <v>7.33</v>
      </c>
      <c r="D27" s="166">
        <v>68218.62</v>
      </c>
      <c r="E27" s="166">
        <v>77912.56</v>
      </c>
      <c r="F27" s="172">
        <v>0</v>
      </c>
      <c r="G27" s="166">
        <f t="shared" si="0"/>
        <v>9693.9400000000023</v>
      </c>
    </row>
    <row r="28" spans="1:16" s="37" customFormat="1" ht="14.25" x14ac:dyDescent="0.2">
      <c r="A28" s="36" t="s">
        <v>35</v>
      </c>
      <c r="B28" s="36" t="s">
        <v>36</v>
      </c>
      <c r="C28" s="164"/>
      <c r="D28" s="166">
        <f>SUM(D29:D32)</f>
        <v>1423838.27</v>
      </c>
      <c r="E28" s="166">
        <f>SUM(E29:E32)</f>
        <v>1422261.72</v>
      </c>
      <c r="F28" s="166">
        <f>SUM(F29:F32)</f>
        <v>1423838.27</v>
      </c>
      <c r="G28" s="166">
        <f>SUM(G29:G32)</f>
        <v>-1576.5500000000429</v>
      </c>
    </row>
    <row r="29" spans="1:16" ht="15" x14ac:dyDescent="0.25">
      <c r="A29" s="28" t="s">
        <v>37</v>
      </c>
      <c r="B29" s="9" t="s">
        <v>263</v>
      </c>
      <c r="C29" s="152" t="s">
        <v>245</v>
      </c>
      <c r="D29" s="68">
        <v>21773.82</v>
      </c>
      <c r="E29" s="68">
        <v>20961.66</v>
      </c>
      <c r="F29" s="68">
        <f>D29</f>
        <v>21773.82</v>
      </c>
      <c r="G29" s="68">
        <f>E29-D29</f>
        <v>-812.15999999999985</v>
      </c>
    </row>
    <row r="30" spans="1:16" ht="15" x14ac:dyDescent="0.25">
      <c r="A30" s="28" t="s">
        <v>39</v>
      </c>
      <c r="B30" s="9" t="s">
        <v>171</v>
      </c>
      <c r="C30" s="152" t="s">
        <v>246</v>
      </c>
      <c r="D30" s="68">
        <v>231027.66</v>
      </c>
      <c r="E30" s="68">
        <v>237703.19</v>
      </c>
      <c r="F30" s="68">
        <f>D30</f>
        <v>231027.66</v>
      </c>
      <c r="G30" s="68">
        <f>E30-D30</f>
        <v>6675.5299999999988</v>
      </c>
    </row>
    <row r="31" spans="1:16" ht="15" x14ac:dyDescent="0.25">
      <c r="A31" s="28" t="s">
        <v>42</v>
      </c>
      <c r="B31" s="28" t="s">
        <v>173</v>
      </c>
      <c r="C31" s="213" t="s">
        <v>504</v>
      </c>
      <c r="D31" s="68">
        <v>415791.78</v>
      </c>
      <c r="E31" s="68">
        <v>431475.78</v>
      </c>
      <c r="F31" s="68">
        <f>D31</f>
        <v>415791.78</v>
      </c>
      <c r="G31" s="68">
        <f>E31-D31</f>
        <v>15684</v>
      </c>
    </row>
    <row r="32" spans="1:16" ht="15" x14ac:dyDescent="0.25">
      <c r="A32" s="28" t="s">
        <v>41</v>
      </c>
      <c r="B32" s="28" t="s">
        <v>43</v>
      </c>
      <c r="C32" s="152" t="s">
        <v>247</v>
      </c>
      <c r="D32" s="68">
        <v>755245.01</v>
      </c>
      <c r="E32" s="68">
        <v>732121.09</v>
      </c>
      <c r="F32" s="68">
        <f>D32</f>
        <v>755245.01</v>
      </c>
      <c r="G32" s="68">
        <f>E32-D32</f>
        <v>-23123.920000000042</v>
      </c>
    </row>
    <row r="33" spans="1:13" s="20" customFormat="1" ht="7.5" customHeight="1" thickBot="1" x14ac:dyDescent="0.3">
      <c r="A33" s="46"/>
      <c r="B33" s="46"/>
      <c r="C33" s="159"/>
      <c r="D33" s="22"/>
      <c r="E33" s="22"/>
      <c r="F33" s="22"/>
      <c r="G33" s="22"/>
      <c r="H33" s="22"/>
      <c r="I33" s="22"/>
    </row>
    <row r="34" spans="1:13" s="15" customFormat="1" ht="15.75" thickBot="1" x14ac:dyDescent="0.3">
      <c r="A34" s="287" t="s">
        <v>241</v>
      </c>
      <c r="B34" s="288"/>
      <c r="C34" s="288"/>
      <c r="D34" s="73">
        <f>D12+D18+D23+D24+D25+D26+D27+D28-E18-E23-E24-E25-E26-E27-E28</f>
        <v>774149.40000000014</v>
      </c>
      <c r="E34" s="39"/>
      <c r="F34" s="39"/>
      <c r="G34" s="39"/>
      <c r="H34" s="40"/>
      <c r="I34" s="40"/>
    </row>
    <row r="35" spans="1:13" s="15" customFormat="1" ht="6" customHeight="1" thickBot="1" x14ac:dyDescent="0.3">
      <c r="A35" s="41"/>
      <c r="B35" s="41"/>
      <c r="C35" s="155"/>
      <c r="D35" s="42"/>
      <c r="E35" s="39"/>
      <c r="F35" s="39"/>
      <c r="G35" s="39"/>
      <c r="H35" s="40"/>
      <c r="I35" s="40"/>
    </row>
    <row r="36" spans="1:13" s="15" customFormat="1" ht="15.75" thickBot="1" x14ac:dyDescent="0.3">
      <c r="A36" s="87" t="s">
        <v>242</v>
      </c>
      <c r="B36" s="43"/>
      <c r="C36" s="156"/>
      <c r="D36" s="44"/>
      <c r="E36" s="45"/>
      <c r="F36" s="45"/>
      <c r="G36" s="38">
        <f>G14+E27-F27</f>
        <v>9102.4599999999919</v>
      </c>
      <c r="H36" s="40"/>
      <c r="I36" s="40"/>
    </row>
    <row r="37" spans="1:13" s="15" customFormat="1" ht="15.75" thickBot="1" x14ac:dyDescent="0.3">
      <c r="A37" s="138" t="s">
        <v>243</v>
      </c>
      <c r="B37" s="139"/>
      <c r="C37" s="156"/>
      <c r="D37" s="44"/>
      <c r="E37" s="45"/>
      <c r="F37" s="45"/>
      <c r="G37" s="38">
        <f>G15+E26-F26</f>
        <v>80810.696000000011</v>
      </c>
      <c r="H37" s="40"/>
      <c r="I37" s="40"/>
    </row>
    <row r="38" spans="1:13" s="20" customFormat="1" ht="9.75" customHeight="1" x14ac:dyDescent="0.25">
      <c r="A38" s="21"/>
      <c r="B38" s="21"/>
      <c r="C38" s="160"/>
      <c r="D38" s="21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23.25" customHeight="1" x14ac:dyDescent="0.2">
      <c r="A39" s="289" t="s">
        <v>44</v>
      </c>
      <c r="B39" s="289"/>
      <c r="C39" s="289"/>
      <c r="D39" s="289"/>
      <c r="E39" s="289"/>
      <c r="F39" s="289"/>
      <c r="G39" s="289"/>
      <c r="H39" s="179"/>
      <c r="I39" s="179"/>
      <c r="J39" s="179"/>
      <c r="K39" s="179"/>
    </row>
    <row r="41" spans="1:13" s="18" customFormat="1" ht="37.5" customHeight="1" x14ac:dyDescent="0.25">
      <c r="A41" s="6" t="s">
        <v>11</v>
      </c>
      <c r="B41" s="290" t="s">
        <v>45</v>
      </c>
      <c r="C41" s="291"/>
      <c r="D41" s="292"/>
      <c r="E41" s="6" t="s">
        <v>254</v>
      </c>
      <c r="F41" s="6" t="s">
        <v>253</v>
      </c>
      <c r="G41" s="6" t="s">
        <v>46</v>
      </c>
      <c r="L41" s="54"/>
    </row>
    <row r="42" spans="1:13" s="12" customFormat="1" ht="15" customHeight="1" x14ac:dyDescent="0.25">
      <c r="A42" s="11" t="s">
        <v>47</v>
      </c>
      <c r="B42" s="280" t="s">
        <v>127</v>
      </c>
      <c r="C42" s="281"/>
      <c r="D42" s="282"/>
      <c r="E42" s="176"/>
      <c r="F42" s="176"/>
      <c r="G42" s="53">
        <f>SUM(G43:O45)</f>
        <v>8277.844000000001</v>
      </c>
      <c r="L42" s="55"/>
    </row>
    <row r="43" spans="1:13" ht="15.75" customHeight="1" x14ac:dyDescent="0.2">
      <c r="A43" s="28" t="s">
        <v>16</v>
      </c>
      <c r="B43" s="283" t="s">
        <v>149</v>
      </c>
      <c r="C43" s="284"/>
      <c r="D43" s="285"/>
      <c r="E43" s="193" t="s">
        <v>255</v>
      </c>
      <c r="F43" s="193">
        <v>3</v>
      </c>
      <c r="G43" s="178">
        <v>3398.64</v>
      </c>
      <c r="L43" s="56"/>
    </row>
    <row r="44" spans="1:13" ht="15.75" customHeight="1" x14ac:dyDescent="0.2">
      <c r="A44" s="28" t="s">
        <v>18</v>
      </c>
      <c r="B44" s="283" t="s">
        <v>256</v>
      </c>
      <c r="C44" s="284"/>
      <c r="D44" s="285"/>
      <c r="E44" s="193" t="s">
        <v>262</v>
      </c>
      <c r="F44" s="193">
        <v>2</v>
      </c>
      <c r="G44" s="178">
        <v>4348.97</v>
      </c>
      <c r="L44" s="56"/>
    </row>
    <row r="45" spans="1:13" ht="15.75" customHeight="1" x14ac:dyDescent="0.2">
      <c r="A45" s="28" t="s">
        <v>20</v>
      </c>
      <c r="B45" s="144" t="s">
        <v>532</v>
      </c>
      <c r="C45" s="145"/>
      <c r="D45" s="146"/>
      <c r="E45" s="193"/>
      <c r="F45" s="193"/>
      <c r="G45" s="178">
        <f>E26*1%</f>
        <v>530.23400000000004</v>
      </c>
      <c r="L45" s="56"/>
    </row>
    <row r="46" spans="1:13" ht="7.5" customHeight="1" x14ac:dyDescent="0.2">
      <c r="B46" s="13"/>
      <c r="D46" s="13"/>
      <c r="E46" s="13"/>
      <c r="F46" s="13"/>
    </row>
    <row r="47" spans="1:13" s="25" customFormat="1" x14ac:dyDescent="0.2">
      <c r="A47" s="25" t="s">
        <v>55</v>
      </c>
      <c r="C47" s="154" t="s">
        <v>49</v>
      </c>
      <c r="E47" s="25" t="s">
        <v>102</v>
      </c>
    </row>
    <row r="48" spans="1:13" s="25" customFormat="1" x14ac:dyDescent="0.2">
      <c r="C48" s="154"/>
    </row>
    <row r="49" spans="1:10" s="3" customFormat="1" ht="15" x14ac:dyDescent="0.25">
      <c r="C49" s="161"/>
      <c r="F49" s="4" t="s">
        <v>244</v>
      </c>
    </row>
    <row r="50" spans="1:10" s="25" customFormat="1" ht="9" customHeight="1" x14ac:dyDescent="0.2">
      <c r="A50" s="25" t="s">
        <v>50</v>
      </c>
      <c r="C50" s="154"/>
    </row>
    <row r="51" spans="1:10" s="25" customFormat="1" x14ac:dyDescent="0.2">
      <c r="C51" s="154" t="s">
        <v>51</v>
      </c>
      <c r="G51" s="34"/>
      <c r="H51" s="34"/>
      <c r="I51" s="34"/>
      <c r="J51" s="34"/>
    </row>
    <row r="52" spans="1:10" s="25" customFormat="1" x14ac:dyDescent="0.2">
      <c r="C52" s="154"/>
    </row>
    <row r="53" spans="1:10" s="25" customFormat="1" x14ac:dyDescent="0.2">
      <c r="C53" s="154"/>
    </row>
  </sheetData>
  <mergeCells count="14">
    <mergeCell ref="A10:K10"/>
    <mergeCell ref="A1:K1"/>
    <mergeCell ref="A2:K2"/>
    <mergeCell ref="A3:K3"/>
    <mergeCell ref="A5:K5"/>
    <mergeCell ref="A9:K9"/>
    <mergeCell ref="B42:D42"/>
    <mergeCell ref="B43:D43"/>
    <mergeCell ref="B44:D44"/>
    <mergeCell ref="A11:K11"/>
    <mergeCell ref="A12:C12"/>
    <mergeCell ref="A34:C34"/>
    <mergeCell ref="A39:G39"/>
    <mergeCell ref="B41:D41"/>
  </mergeCells>
  <phoneticPr fontId="18" type="noConversion"/>
  <pageMargins left="0" right="0" top="0" bottom="0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F45" sqref="F45:G45"/>
    </sheetView>
  </sheetViews>
  <sheetFormatPr defaultRowHeight="15" outlineLevelCol="1" x14ac:dyDescent="0.25"/>
  <cols>
    <col min="1" max="1" width="4.7109375" style="1" customWidth="1"/>
    <col min="2" max="2" width="49" style="1" customWidth="1"/>
    <col min="3" max="3" width="14.7109375" style="1" customWidth="1"/>
    <col min="4" max="4" width="12.5703125" style="1" customWidth="1"/>
    <col min="5" max="5" width="12.7109375" style="1" customWidth="1"/>
    <col min="6" max="6" width="12.2851562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6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4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7.5" customHeight="1" x14ac:dyDescent="0.25"/>
    <row r="7" spans="1:11" s="3" customFormat="1" ht="16.5" customHeight="1" x14ac:dyDescent="0.25">
      <c r="A7" s="3" t="s">
        <v>2</v>
      </c>
      <c r="E7" s="4" t="s">
        <v>64</v>
      </c>
    </row>
    <row r="8" spans="1:11" s="3" customFormat="1" x14ac:dyDescent="0.25">
      <c r="A8" s="3" t="s">
        <v>3</v>
      </c>
      <c r="E8" s="4" t="s">
        <v>65</v>
      </c>
    </row>
    <row r="9" spans="1:11" s="3" customFormat="1" ht="7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93">
        <v>-55182.99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27785.29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6229.21</v>
      </c>
      <c r="H16" s="40"/>
      <c r="I16" s="40"/>
    </row>
    <row r="17" spans="1:9" s="3" customFormat="1" ht="9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166449.06</v>
      </c>
      <c r="E19" s="165">
        <v>164465.42000000001</v>
      </c>
      <c r="F19" s="165">
        <f>D19</f>
        <v>166449.06</v>
      </c>
      <c r="G19" s="166">
        <f t="shared" ref="G19:G28" si="0">E19-D19</f>
        <v>-1983.6399999999849</v>
      </c>
      <c r="H19" s="122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59960.59705263158</v>
      </c>
      <c r="E20" s="67">
        <f>E19*I20</f>
        <v>59246.02264327486</v>
      </c>
      <c r="F20" s="67">
        <f>D20</f>
        <v>59960.59705263158</v>
      </c>
      <c r="G20" s="68">
        <f t="shared" si="0"/>
        <v>-714.57440935671912</v>
      </c>
      <c r="H20" s="122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29396.266736842103</v>
      </c>
      <c r="E21" s="67">
        <f>E19*I21</f>
        <v>29045.939672514618</v>
      </c>
      <c r="F21" s="67">
        <f>D21</f>
        <v>29396.266736842103</v>
      </c>
      <c r="G21" s="68">
        <f t="shared" si="0"/>
        <v>-350.32706432748455</v>
      </c>
      <c r="H21" s="122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26476.107789473681</v>
      </c>
      <c r="E22" s="67">
        <f>E19*I22</f>
        <v>26160.581426900586</v>
      </c>
      <c r="F22" s="67">
        <f>D22</f>
        <v>26476.107789473681</v>
      </c>
      <c r="G22" s="68">
        <f t="shared" si="0"/>
        <v>-315.52636257309496</v>
      </c>
      <c r="H22" s="122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50616.088421052627</v>
      </c>
      <c r="E23" s="67">
        <f>E19*I23</f>
        <v>50012.876257309945</v>
      </c>
      <c r="F23" s="67">
        <f>D23</f>
        <v>50616.088421052627</v>
      </c>
      <c r="G23" s="68">
        <f t="shared" si="0"/>
        <v>-603.21216374268261</v>
      </c>
      <c r="H23" s="122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89550.96</v>
      </c>
      <c r="E25" s="166">
        <v>88840.59</v>
      </c>
      <c r="F25" s="166">
        <f>D25</f>
        <v>89550.96</v>
      </c>
      <c r="G25" s="166">
        <f t="shared" si="0"/>
        <v>-710.3700000000099</v>
      </c>
    </row>
    <row r="26" spans="1:9" s="186" customFormat="1" ht="14.25" x14ac:dyDescent="0.2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32122.62</v>
      </c>
      <c r="E27" s="166">
        <v>31932.54</v>
      </c>
      <c r="F27" s="172">
        <f>F44</f>
        <v>40817.625400000004</v>
      </c>
      <c r="G27" s="166">
        <f t="shared" si="0"/>
        <v>-190.07999999999811</v>
      </c>
    </row>
    <row r="28" spans="1:9" s="186" customFormat="1" ht="14.25" x14ac:dyDescent="0.2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839489.42999999993</v>
      </c>
      <c r="E29" s="166">
        <f>SUM(E30:E33)</f>
        <v>832951.36</v>
      </c>
      <c r="F29" s="166">
        <f>SUM(F30:F33)</f>
        <v>835550.82000000007</v>
      </c>
      <c r="G29" s="166">
        <f>SUM(G30:G33)</f>
        <v>-6538.0699999999852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3938.61</v>
      </c>
      <c r="E30" s="68">
        <v>3916.93</v>
      </c>
      <c r="F30" s="68">
        <v>0</v>
      </c>
      <c r="G30" s="68">
        <f>E30-D30</f>
        <v>-21.680000000000291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223979.06</v>
      </c>
      <c r="E31" s="68">
        <v>221839.78</v>
      </c>
      <c r="F31" s="68">
        <f>D31</f>
        <v>223979.06</v>
      </c>
      <c r="G31" s="68">
        <f>E31-D31</f>
        <v>-2139.2799999999988</v>
      </c>
    </row>
    <row r="32" spans="1:9" s="97" customFormat="1" x14ac:dyDescent="0.25">
      <c r="A32" s="95" t="s">
        <v>42</v>
      </c>
      <c r="B32" s="9" t="s">
        <v>40</v>
      </c>
      <c r="C32" s="158">
        <v>0</v>
      </c>
      <c r="D32" s="96">
        <v>0</v>
      </c>
      <c r="E32" s="96">
        <v>0</v>
      </c>
      <c r="F32" s="96">
        <f>D32</f>
        <v>0</v>
      </c>
      <c r="G32" s="96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611571.76</v>
      </c>
      <c r="E33" s="68">
        <v>607194.65</v>
      </c>
      <c r="F33" s="68">
        <f>D33</f>
        <v>611571.76</v>
      </c>
      <c r="G33" s="68">
        <f>E33-D33</f>
        <v>-4377.109999999986</v>
      </c>
    </row>
    <row r="34" spans="1:10" s="20" customFormat="1" ht="5.2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-45760.829999999958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27785.29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-2655.8754000000044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8.25" customHeight="1" x14ac:dyDescent="0.25">
      <c r="B40" s="13"/>
      <c r="C40" s="13"/>
      <c r="D40" s="13"/>
      <c r="E40" s="13"/>
    </row>
    <row r="41" spans="1:10" ht="24.75" customHeight="1" x14ac:dyDescent="0.25">
      <c r="A41" s="289" t="s">
        <v>44</v>
      </c>
      <c r="B41" s="289"/>
      <c r="C41" s="289"/>
      <c r="D41" s="289"/>
      <c r="E41" s="289"/>
      <c r="F41" s="289"/>
      <c r="G41" s="289"/>
      <c r="H41" s="289"/>
      <c r="I41" s="289"/>
    </row>
    <row r="42" spans="1:10" ht="8.25" customHeight="1" x14ac:dyDescent="0.25"/>
    <row r="43" spans="1:10" s="7" customFormat="1" ht="28.5" customHeight="1" x14ac:dyDescent="0.25">
      <c r="A43" s="5" t="s">
        <v>11</v>
      </c>
      <c r="B43" s="306" t="s">
        <v>45</v>
      </c>
      <c r="C43" s="307"/>
      <c r="D43" s="5" t="s">
        <v>254</v>
      </c>
      <c r="E43" s="5" t="s">
        <v>253</v>
      </c>
      <c r="F43" s="306" t="s">
        <v>46</v>
      </c>
      <c r="G43" s="312"/>
    </row>
    <row r="44" spans="1:10" s="12" customFormat="1" ht="13.5" customHeight="1" x14ac:dyDescent="0.25">
      <c r="A44" s="11">
        <v>1</v>
      </c>
      <c r="B44" s="308" t="s">
        <v>127</v>
      </c>
      <c r="C44" s="309"/>
      <c r="D44" s="194"/>
      <c r="E44" s="194"/>
      <c r="F44" s="316">
        <f>SUM(F45:G47)</f>
        <v>40817.625400000004</v>
      </c>
      <c r="G44" s="312"/>
    </row>
    <row r="45" spans="1:10" s="12" customFormat="1" ht="13.5" customHeight="1" x14ac:dyDescent="0.25">
      <c r="A45" s="9" t="s">
        <v>16</v>
      </c>
      <c r="B45" s="327" t="s">
        <v>549</v>
      </c>
      <c r="C45" s="328"/>
      <c r="D45" s="212"/>
      <c r="E45" s="212"/>
      <c r="F45" s="317">
        <v>30440.82</v>
      </c>
      <c r="G45" s="317"/>
    </row>
    <row r="46" spans="1:10" s="12" customFormat="1" ht="13.5" customHeight="1" x14ac:dyDescent="0.25">
      <c r="A46" s="9" t="s">
        <v>18</v>
      </c>
      <c r="B46" s="327" t="s">
        <v>550</v>
      </c>
      <c r="C46" s="328"/>
      <c r="D46" s="212"/>
      <c r="E46" s="212"/>
      <c r="F46" s="317">
        <v>10057.48</v>
      </c>
      <c r="G46" s="317"/>
    </row>
    <row r="47" spans="1:10" s="48" customFormat="1" ht="13.5" customHeight="1" x14ac:dyDescent="0.25">
      <c r="A47" s="9" t="s">
        <v>20</v>
      </c>
      <c r="B47" s="327" t="s">
        <v>533</v>
      </c>
      <c r="C47" s="328"/>
      <c r="D47" s="212"/>
      <c r="E47" s="212"/>
      <c r="F47" s="317">
        <f>E27*1%</f>
        <v>319.3254</v>
      </c>
      <c r="G47" s="317"/>
    </row>
    <row r="48" spans="1:10" s="3" customFormat="1" x14ac:dyDescent="0.25"/>
    <row r="49" spans="1:7" s="3" customFormat="1" x14ac:dyDescent="0.25">
      <c r="A49" s="3" t="s">
        <v>55</v>
      </c>
      <c r="C49" s="3" t="s">
        <v>49</v>
      </c>
      <c r="F49" s="3" t="s">
        <v>102</v>
      </c>
    </row>
    <row r="50" spans="1:7" s="3" customFormat="1" ht="13.5" customHeight="1" x14ac:dyDescent="0.25">
      <c r="F50" s="4" t="s">
        <v>265</v>
      </c>
    </row>
    <row r="51" spans="1:7" s="3" customFormat="1" x14ac:dyDescent="0.25">
      <c r="A51" s="3" t="s">
        <v>50</v>
      </c>
    </row>
    <row r="52" spans="1:7" s="3" customFormat="1" ht="11.25" customHeight="1" x14ac:dyDescent="0.25">
      <c r="C52" s="14" t="s">
        <v>51</v>
      </c>
      <c r="E52" s="14"/>
      <c r="F52" s="14"/>
      <c r="G52" s="14"/>
    </row>
    <row r="53" spans="1:7" s="3" customFormat="1" x14ac:dyDescent="0.25"/>
    <row r="54" spans="1:7" s="3" customFormat="1" x14ac:dyDescent="0.25"/>
  </sheetData>
  <mergeCells count="20">
    <mergeCell ref="A12:I12"/>
    <mergeCell ref="A11:I11"/>
    <mergeCell ref="A1:I1"/>
    <mergeCell ref="A2:I2"/>
    <mergeCell ref="A5:I5"/>
    <mergeCell ref="A10:I10"/>
    <mergeCell ref="A3:K3"/>
    <mergeCell ref="B47:C47"/>
    <mergeCell ref="F47:G47"/>
    <mergeCell ref="A13:C13"/>
    <mergeCell ref="A35:C35"/>
    <mergeCell ref="F44:G44"/>
    <mergeCell ref="A41:I41"/>
    <mergeCell ref="F43:G43"/>
    <mergeCell ref="B43:C43"/>
    <mergeCell ref="B44:C44"/>
    <mergeCell ref="B45:C45"/>
    <mergeCell ref="F45:G45"/>
    <mergeCell ref="B46:C46"/>
    <mergeCell ref="F46:G46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0.5703125" style="1" customWidth="1"/>
    <col min="3" max="3" width="13.140625" style="1" customWidth="1"/>
    <col min="4" max="4" width="12.85546875" style="1" customWidth="1"/>
    <col min="5" max="5" width="13.42578125" style="1" customWidth="1"/>
    <col min="6" max="6" width="13" style="1" customWidth="1"/>
    <col min="7" max="7" width="14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7.25" customHeight="1" x14ac:dyDescent="0.25">
      <c r="A3" s="293" t="s">
        <v>286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1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3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ht="16.5" customHeight="1" x14ac:dyDescent="0.25">
      <c r="A7" s="3" t="s">
        <v>2</v>
      </c>
      <c r="E7" s="4" t="s">
        <v>66</v>
      </c>
    </row>
    <row r="8" spans="1:11" s="3" customFormat="1" x14ac:dyDescent="0.25">
      <c r="A8" s="3" t="s">
        <v>3</v>
      </c>
      <c r="E8" s="4" t="s">
        <v>156</v>
      </c>
    </row>
    <row r="9" spans="1:11" s="3" customFormat="1" ht="8.2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693303.36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-86314.4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-2823.99</v>
      </c>
      <c r="H16" s="40"/>
      <c r="I16" s="40"/>
    </row>
    <row r="17" spans="1:9" s="3" customFormat="1" ht="7.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31.5" customHeight="1" x14ac:dyDescent="0.2">
      <c r="A19" s="187" t="s">
        <v>14</v>
      </c>
      <c r="B19" s="137" t="s">
        <v>15</v>
      </c>
      <c r="C19" s="180">
        <f>C20+C21+C22+C23</f>
        <v>8.9599999999999991</v>
      </c>
      <c r="D19" s="165">
        <v>272409</v>
      </c>
      <c r="E19" s="165">
        <v>256234.92</v>
      </c>
      <c r="F19" s="165">
        <f t="shared" ref="F19:F24" si="0">D19</f>
        <v>272409</v>
      </c>
      <c r="G19" s="166">
        <f t="shared" ref="G19:G28" si="1">E19-D19</f>
        <v>-16174.079999999987</v>
      </c>
      <c r="H19" s="167">
        <f>C19</f>
        <v>8.9599999999999991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93640.593750000015</v>
      </c>
      <c r="E20" s="67">
        <f>E19*I20</f>
        <v>88080.753750000018</v>
      </c>
      <c r="F20" s="67">
        <f t="shared" si="0"/>
        <v>93640.593750000015</v>
      </c>
      <c r="G20" s="68">
        <f t="shared" si="1"/>
        <v>-5559.8399999999965</v>
      </c>
      <c r="H20" s="162">
        <f t="shared" ref="H20:H23" si="2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44692.101562500007</v>
      </c>
      <c r="E21" s="67">
        <f>E19*I21</f>
        <v>42038.54156250001</v>
      </c>
      <c r="F21" s="67">
        <f t="shared" si="0"/>
        <v>44692.101562500007</v>
      </c>
      <c r="G21" s="68">
        <f t="shared" si="1"/>
        <v>-2653.5599999999977</v>
      </c>
      <c r="H21" s="162">
        <f t="shared" si="2"/>
        <v>1.47</v>
      </c>
      <c r="I21" s="15">
        <f>H21/H19</f>
        <v>0.16406250000000003</v>
      </c>
    </row>
    <row r="22" spans="1:9" s="3" customFormat="1" ht="15" customHeight="1" x14ac:dyDescent="0.25">
      <c r="A22" s="8" t="s">
        <v>20</v>
      </c>
      <c r="B22" s="9" t="s">
        <v>21</v>
      </c>
      <c r="C22" s="157">
        <v>1.81</v>
      </c>
      <c r="D22" s="67">
        <f>D19*I22</f>
        <v>55029.050223214297</v>
      </c>
      <c r="E22" s="67">
        <f>E19*I22</f>
        <v>51761.741651785727</v>
      </c>
      <c r="F22" s="67">
        <f t="shared" si="0"/>
        <v>55029.050223214297</v>
      </c>
      <c r="G22" s="68">
        <f t="shared" si="1"/>
        <v>-3267.3085714285698</v>
      </c>
      <c r="H22" s="162">
        <f t="shared" si="2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7">
        <v>2.6</v>
      </c>
      <c r="D23" s="67">
        <f>D19*I23</f>
        <v>79047.254464285725</v>
      </c>
      <c r="E23" s="67">
        <f>E19*I23</f>
        <v>74353.883035714302</v>
      </c>
      <c r="F23" s="67">
        <f t="shared" si="0"/>
        <v>79047.254464285725</v>
      </c>
      <c r="G23" s="68">
        <f t="shared" si="1"/>
        <v>-4693.3714285714232</v>
      </c>
      <c r="H23" s="162">
        <f t="shared" si="2"/>
        <v>2.6</v>
      </c>
      <c r="I23" s="15">
        <f>H23/H19</f>
        <v>0.29017857142857145</v>
      </c>
    </row>
    <row r="24" spans="1:9" s="186" customFormat="1" ht="15" customHeight="1" x14ac:dyDescent="0.2">
      <c r="A24" s="137" t="s">
        <v>25</v>
      </c>
      <c r="B24" s="170" t="s">
        <v>26</v>
      </c>
      <c r="C24" s="17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9" s="186" customFormat="1" ht="13.5" customHeight="1" x14ac:dyDescent="0.2">
      <c r="A25" s="137" t="s">
        <v>27</v>
      </c>
      <c r="B25" s="170" t="s">
        <v>28</v>
      </c>
      <c r="C25" s="171">
        <v>4.5999999999999996</v>
      </c>
      <c r="D25" s="166">
        <v>134042.16</v>
      </c>
      <c r="E25" s="166">
        <v>131687.57</v>
      </c>
      <c r="F25" s="166">
        <f t="shared" ref="F25:F26" si="3">D25</f>
        <v>134042.16</v>
      </c>
      <c r="G25" s="166">
        <f t="shared" si="1"/>
        <v>-2354.5899999999965</v>
      </c>
    </row>
    <row r="26" spans="1:9" s="186" customFormat="1" ht="15.75" customHeight="1" x14ac:dyDescent="0.2">
      <c r="A26" s="137" t="s">
        <v>29</v>
      </c>
      <c r="B26" s="170" t="s">
        <v>248</v>
      </c>
      <c r="C26" s="171">
        <v>1755.25</v>
      </c>
      <c r="D26" s="166">
        <v>12842.86</v>
      </c>
      <c r="E26" s="166">
        <v>12083.76</v>
      </c>
      <c r="F26" s="166">
        <f t="shared" si="3"/>
        <v>12842.86</v>
      </c>
      <c r="G26" s="166">
        <f t="shared" si="1"/>
        <v>-759.10000000000036</v>
      </c>
    </row>
    <row r="27" spans="1:9" s="186" customFormat="1" ht="14.25" x14ac:dyDescent="0.2">
      <c r="A27" s="137" t="s">
        <v>31</v>
      </c>
      <c r="B27" s="170" t="s">
        <v>132</v>
      </c>
      <c r="C27" s="171">
        <v>2.82</v>
      </c>
      <c r="D27" s="166">
        <v>85735.44</v>
      </c>
      <c r="E27" s="166">
        <v>80369.75</v>
      </c>
      <c r="F27" s="172">
        <f>F43</f>
        <v>173235.59750000003</v>
      </c>
      <c r="G27" s="166">
        <f t="shared" si="1"/>
        <v>-5365.6900000000023</v>
      </c>
    </row>
    <row r="28" spans="1:9" s="186" customFormat="1" ht="14.25" x14ac:dyDescent="0.2">
      <c r="A28" s="137" t="s">
        <v>33</v>
      </c>
      <c r="B28" s="36" t="s">
        <v>34</v>
      </c>
      <c r="C28" s="164">
        <v>7.33</v>
      </c>
      <c r="D28" s="166">
        <v>103977</v>
      </c>
      <c r="E28" s="166">
        <v>99986.27</v>
      </c>
      <c r="F28" s="172">
        <v>0</v>
      </c>
      <c r="G28" s="166">
        <f t="shared" si="1"/>
        <v>-3990.7299999999959</v>
      </c>
    </row>
    <row r="29" spans="1:9" s="186" customFormat="1" ht="14.25" x14ac:dyDescent="0.2">
      <c r="A29" s="137" t="s">
        <v>35</v>
      </c>
      <c r="B29" s="36" t="s">
        <v>36</v>
      </c>
      <c r="C29" s="164"/>
      <c r="D29" s="166">
        <f>SUM(D30:D33)</f>
        <v>1481127.4100000001</v>
      </c>
      <c r="E29" s="166">
        <f>SUM(E30:E33)</f>
        <v>1410226.79</v>
      </c>
      <c r="F29" s="166">
        <f>SUM(F30:F33)</f>
        <v>1481127.4100000001</v>
      </c>
      <c r="G29" s="166">
        <f>SUM(G30:G33)</f>
        <v>-70900.620000000024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79822.58</v>
      </c>
      <c r="E30" s="68">
        <v>75219.92</v>
      </c>
      <c r="F30" s="68">
        <f>D30</f>
        <v>79822.58</v>
      </c>
      <c r="G30" s="68">
        <f>E30-D30</f>
        <v>-4602.6600000000035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259569.28</v>
      </c>
      <c r="E31" s="68">
        <v>250225.72</v>
      </c>
      <c r="F31" s="68">
        <f t="shared" ref="F31:F33" si="4">D31</f>
        <v>259569.28</v>
      </c>
      <c r="G31" s="68">
        <f>E31-D31</f>
        <v>-9343.5599999999977</v>
      </c>
    </row>
    <row r="32" spans="1:9" s="97" customFormat="1" x14ac:dyDescent="0.25">
      <c r="A32" s="95" t="s">
        <v>42</v>
      </c>
      <c r="B32" s="9" t="s">
        <v>40</v>
      </c>
      <c r="C32" s="213" t="s">
        <v>504</v>
      </c>
      <c r="D32" s="96">
        <v>436821.75</v>
      </c>
      <c r="E32" s="96">
        <v>417010.62</v>
      </c>
      <c r="F32" s="68">
        <f t="shared" si="4"/>
        <v>436821.75</v>
      </c>
      <c r="G32" s="96">
        <f>E32-D32</f>
        <v>-19811.130000000005</v>
      </c>
    </row>
    <row r="33" spans="1:10" ht="15" customHeight="1" x14ac:dyDescent="0.25">
      <c r="A33" s="9" t="s">
        <v>41</v>
      </c>
      <c r="B33" s="9" t="s">
        <v>43</v>
      </c>
      <c r="C33" s="152" t="s">
        <v>247</v>
      </c>
      <c r="D33" s="68">
        <v>704913.8</v>
      </c>
      <c r="E33" s="68">
        <v>667770.53</v>
      </c>
      <c r="F33" s="68">
        <f t="shared" si="4"/>
        <v>704913.8</v>
      </c>
      <c r="G33" s="68">
        <f>E33-D33</f>
        <v>-37143.270000000019</v>
      </c>
    </row>
    <row r="34" spans="1:10" s="20" customFormat="1" ht="7.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792848.17000000086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13671.87000000001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-95689.837500000038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6.25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12"/>
    </row>
    <row r="43" spans="1:10" s="12" customFormat="1" ht="12.75" customHeight="1" x14ac:dyDescent="0.25">
      <c r="A43" s="11" t="s">
        <v>47</v>
      </c>
      <c r="B43" s="308" t="s">
        <v>127</v>
      </c>
      <c r="C43" s="309"/>
      <c r="D43" s="194"/>
      <c r="E43" s="194"/>
      <c r="F43" s="316">
        <f>SUM(F44:G52)</f>
        <v>173235.59750000003</v>
      </c>
      <c r="G43" s="312"/>
    </row>
    <row r="44" spans="1:10" ht="12.75" customHeight="1" x14ac:dyDescent="0.25">
      <c r="A44" s="9" t="s">
        <v>16</v>
      </c>
      <c r="B44" s="298" t="s">
        <v>287</v>
      </c>
      <c r="C44" s="299"/>
      <c r="D44" s="193" t="s">
        <v>255</v>
      </c>
      <c r="E44" s="193">
        <v>6</v>
      </c>
      <c r="F44" s="315">
        <v>51088.9</v>
      </c>
      <c r="G44" s="315"/>
    </row>
    <row r="45" spans="1:10" ht="12.75" customHeight="1" x14ac:dyDescent="0.25">
      <c r="A45" s="9" t="s">
        <v>18</v>
      </c>
      <c r="B45" s="298" t="s">
        <v>288</v>
      </c>
      <c r="C45" s="299"/>
      <c r="D45" s="193" t="s">
        <v>262</v>
      </c>
      <c r="E45" s="193">
        <v>1</v>
      </c>
      <c r="F45" s="329">
        <v>2801.54</v>
      </c>
      <c r="G45" s="330"/>
    </row>
    <row r="46" spans="1:10" ht="12.75" customHeight="1" x14ac:dyDescent="0.25">
      <c r="A46" s="9" t="s">
        <v>20</v>
      </c>
      <c r="B46" s="298" t="s">
        <v>234</v>
      </c>
      <c r="C46" s="299"/>
      <c r="D46" s="193" t="s">
        <v>262</v>
      </c>
      <c r="E46" s="193">
        <v>1</v>
      </c>
      <c r="F46" s="329">
        <v>5134.32</v>
      </c>
      <c r="G46" s="330"/>
    </row>
    <row r="47" spans="1:10" ht="12.75" customHeight="1" x14ac:dyDescent="0.25">
      <c r="A47" s="9" t="s">
        <v>22</v>
      </c>
      <c r="B47" s="298" t="s">
        <v>289</v>
      </c>
      <c r="C47" s="299"/>
      <c r="D47" s="193" t="s">
        <v>262</v>
      </c>
      <c r="E47" s="193">
        <v>1</v>
      </c>
      <c r="F47" s="329">
        <v>9279.18</v>
      </c>
      <c r="G47" s="330"/>
    </row>
    <row r="48" spans="1:10" ht="12.75" customHeight="1" x14ac:dyDescent="0.25">
      <c r="A48" s="9" t="s">
        <v>24</v>
      </c>
      <c r="B48" s="298" t="s">
        <v>290</v>
      </c>
      <c r="C48" s="299"/>
      <c r="D48" s="193" t="s">
        <v>262</v>
      </c>
      <c r="E48" s="193">
        <v>1</v>
      </c>
      <c r="F48" s="329">
        <v>2166.61</v>
      </c>
      <c r="G48" s="330"/>
    </row>
    <row r="49" spans="1:7" ht="12.75" customHeight="1" x14ac:dyDescent="0.25">
      <c r="A49" s="9" t="s">
        <v>117</v>
      </c>
      <c r="B49" s="298" t="s">
        <v>291</v>
      </c>
      <c r="C49" s="299"/>
      <c r="D49" s="193" t="s">
        <v>262</v>
      </c>
      <c r="E49" s="193">
        <v>1</v>
      </c>
      <c r="F49" s="329">
        <v>2156.11</v>
      </c>
      <c r="G49" s="330"/>
    </row>
    <row r="50" spans="1:7" ht="12.75" customHeight="1" x14ac:dyDescent="0.25">
      <c r="A50" s="9" t="s">
        <v>118</v>
      </c>
      <c r="B50" s="298" t="s">
        <v>326</v>
      </c>
      <c r="C50" s="299"/>
      <c r="D50" s="193"/>
      <c r="E50" s="193"/>
      <c r="F50" s="329">
        <v>99722.74</v>
      </c>
      <c r="G50" s="330"/>
    </row>
    <row r="51" spans="1:7" ht="12.75" customHeight="1" x14ac:dyDescent="0.25">
      <c r="A51" s="9" t="s">
        <v>133</v>
      </c>
      <c r="B51" s="298" t="s">
        <v>556</v>
      </c>
      <c r="C51" s="299"/>
      <c r="D51" s="193"/>
      <c r="E51" s="193"/>
      <c r="F51" s="329">
        <v>82.5</v>
      </c>
      <c r="G51" s="330"/>
    </row>
    <row r="52" spans="1:7" ht="12.75" customHeight="1" x14ac:dyDescent="0.25">
      <c r="A52" s="9" t="s">
        <v>134</v>
      </c>
      <c r="B52" s="298" t="s">
        <v>533</v>
      </c>
      <c r="C52" s="299"/>
      <c r="D52" s="193"/>
      <c r="E52" s="193"/>
      <c r="F52" s="329">
        <f>E27*1%</f>
        <v>803.69749999999999</v>
      </c>
      <c r="G52" s="330"/>
    </row>
    <row r="53" spans="1:7" x14ac:dyDescent="0.25">
      <c r="B53" s="13"/>
      <c r="C53" s="13"/>
      <c r="D53" s="13"/>
      <c r="E53" s="13"/>
    </row>
    <row r="54" spans="1:7" s="3" customFormat="1" x14ac:dyDescent="0.25">
      <c r="A54" s="3" t="s">
        <v>55</v>
      </c>
      <c r="C54" s="3" t="s">
        <v>49</v>
      </c>
      <c r="F54" s="3" t="s">
        <v>102</v>
      </c>
    </row>
    <row r="55" spans="1:7" s="3" customFormat="1" ht="13.5" customHeight="1" x14ac:dyDescent="0.25">
      <c r="F55" s="4" t="s">
        <v>265</v>
      </c>
    </row>
    <row r="56" spans="1:7" s="3" customFormat="1" x14ac:dyDescent="0.25">
      <c r="A56" s="3" t="s">
        <v>50</v>
      </c>
    </row>
    <row r="57" spans="1:7" s="3" customFormat="1" x14ac:dyDescent="0.25">
      <c r="C57" s="14" t="s">
        <v>51</v>
      </c>
      <c r="E57" s="14"/>
      <c r="F57" s="14"/>
      <c r="G57" s="14"/>
    </row>
    <row r="58" spans="1:7" s="3" customFormat="1" x14ac:dyDescent="0.25"/>
    <row r="59" spans="1:7" s="3" customFormat="1" x14ac:dyDescent="0.25"/>
  </sheetData>
  <mergeCells count="32">
    <mergeCell ref="B51:C51"/>
    <mergeCell ref="F51:G51"/>
    <mergeCell ref="F52:G52"/>
    <mergeCell ref="B52:C52"/>
    <mergeCell ref="A1:I1"/>
    <mergeCell ref="A2:I2"/>
    <mergeCell ref="A5:I5"/>
    <mergeCell ref="A10:I10"/>
    <mergeCell ref="A3:K3"/>
    <mergeCell ref="F46:G46"/>
    <mergeCell ref="F44:G44"/>
    <mergeCell ref="F45:G45"/>
    <mergeCell ref="B44:C44"/>
    <mergeCell ref="B45:C45"/>
    <mergeCell ref="B46:C46"/>
    <mergeCell ref="A11:I11"/>
    <mergeCell ref="A13:C13"/>
    <mergeCell ref="A35:C35"/>
    <mergeCell ref="A12:I12"/>
    <mergeCell ref="A40:I40"/>
    <mergeCell ref="F42:G42"/>
    <mergeCell ref="B42:C42"/>
    <mergeCell ref="B50:C50"/>
    <mergeCell ref="F50:G50"/>
    <mergeCell ref="B43:C43"/>
    <mergeCell ref="F48:G48"/>
    <mergeCell ref="F49:G49"/>
    <mergeCell ref="F47:G47"/>
    <mergeCell ref="B47:C47"/>
    <mergeCell ref="B48:C48"/>
    <mergeCell ref="B49:C49"/>
    <mergeCell ref="F43:G4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F47" sqref="F47"/>
    </sheetView>
  </sheetViews>
  <sheetFormatPr defaultRowHeight="15" outlineLevelCol="1" x14ac:dyDescent="0.25"/>
  <cols>
    <col min="1" max="1" width="4.7109375" style="1" customWidth="1"/>
    <col min="2" max="2" width="44.42578125" style="1" customWidth="1"/>
    <col min="3" max="3" width="14.85546875" style="1" customWidth="1"/>
    <col min="4" max="4" width="12.85546875" style="1" customWidth="1"/>
    <col min="5" max="5" width="12.5703125" style="1" customWidth="1"/>
    <col min="6" max="6" width="12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ht="16.5" customHeight="1" x14ac:dyDescent="0.25">
      <c r="A7" s="3" t="s">
        <v>2</v>
      </c>
      <c r="F7" s="4" t="s">
        <v>67</v>
      </c>
    </row>
    <row r="8" spans="1:11" s="3" customFormat="1" x14ac:dyDescent="0.25">
      <c r="A8" s="3" t="s">
        <v>3</v>
      </c>
      <c r="F8" s="4" t="s">
        <v>68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215733.57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12957.33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-83803.199999999997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8.5" x14ac:dyDescent="0.2">
      <c r="A19" s="187" t="s">
        <v>14</v>
      </c>
      <c r="B19" s="137" t="s">
        <v>15</v>
      </c>
      <c r="C19" s="180">
        <f>C20+C21+C22+C23</f>
        <v>8.5500000000000007</v>
      </c>
      <c r="D19" s="165">
        <v>176493.84</v>
      </c>
      <c r="E19" s="165">
        <v>174830.49</v>
      </c>
      <c r="F19" s="165">
        <f>D19</f>
        <v>176493.84</v>
      </c>
      <c r="G19" s="166">
        <f t="shared" ref="G19:G28" si="0">E19-D19</f>
        <v>-1663.3500000000058</v>
      </c>
      <c r="H19" s="189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63579.067508771928</v>
      </c>
      <c r="E20" s="67">
        <f>E19*I20</f>
        <v>62979.872421052627</v>
      </c>
      <c r="F20" s="67">
        <f>D20</f>
        <v>63579.067508771928</v>
      </c>
      <c r="G20" s="68">
        <f t="shared" si="0"/>
        <v>-599.19508771930123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31170.257122807016</v>
      </c>
      <c r="E21" s="67">
        <f>E19*I21</f>
        <v>30876.49589473684</v>
      </c>
      <c r="F21" s="67">
        <f>D21</f>
        <v>31170.257122807016</v>
      </c>
      <c r="G21" s="68">
        <f t="shared" si="0"/>
        <v>-293.761228070176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28073.873964912276</v>
      </c>
      <c r="E22" s="67">
        <f>E19*I22</f>
        <v>27809.29431578947</v>
      </c>
      <c r="F22" s="67">
        <f>D22</f>
        <v>28073.873964912276</v>
      </c>
      <c r="G22" s="68">
        <f t="shared" si="0"/>
        <v>-264.57964912280659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53670.641403508766</v>
      </c>
      <c r="E23" s="67">
        <f>E19*I23</f>
        <v>53164.827368421044</v>
      </c>
      <c r="F23" s="67">
        <f>D23</f>
        <v>53670.641403508766</v>
      </c>
      <c r="G23" s="68">
        <f t="shared" si="0"/>
        <v>-505.814035087722</v>
      </c>
      <c r="H23" s="71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94955.04</v>
      </c>
      <c r="E25" s="166">
        <v>94086.88</v>
      </c>
      <c r="F25" s="166">
        <f>D25</f>
        <v>94955.04</v>
      </c>
      <c r="G25" s="166">
        <f t="shared" si="0"/>
        <v>-868.15999999998894</v>
      </c>
    </row>
    <row r="26" spans="1:9" s="186" customFormat="1" ht="14.25" x14ac:dyDescent="0.2">
      <c r="A26" s="137" t="s">
        <v>29</v>
      </c>
      <c r="B26" s="170" t="s">
        <v>248</v>
      </c>
      <c r="C26" s="201">
        <v>1755.25</v>
      </c>
      <c r="D26" s="166">
        <v>12842.43</v>
      </c>
      <c r="E26" s="166">
        <v>12636.89</v>
      </c>
      <c r="F26" s="166">
        <f>D26</f>
        <v>12842.43</v>
      </c>
      <c r="G26" s="166">
        <f t="shared" si="0"/>
        <v>-205.54000000000087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34061.279999999999</v>
      </c>
      <c r="E27" s="166">
        <v>33994.129999999997</v>
      </c>
      <c r="F27" s="172">
        <f>F43</f>
        <v>30649.151299999998</v>
      </c>
      <c r="G27" s="166">
        <f t="shared" si="0"/>
        <v>-67.150000000001455</v>
      </c>
    </row>
    <row r="28" spans="1:9" s="116" customFormat="1" ht="14.25" x14ac:dyDescent="0.2">
      <c r="A28" s="195" t="s">
        <v>33</v>
      </c>
      <c r="B28" s="36" t="s">
        <v>34</v>
      </c>
      <c r="C28" s="202">
        <v>0</v>
      </c>
      <c r="D28" s="115">
        <v>0</v>
      </c>
      <c r="E28" s="115">
        <v>931.51</v>
      </c>
      <c r="F28" s="196">
        <v>0</v>
      </c>
      <c r="G28" s="115">
        <f t="shared" si="0"/>
        <v>931.51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679883.31</v>
      </c>
      <c r="E29" s="166">
        <f>SUM(E30:E33)</f>
        <v>657235.41</v>
      </c>
      <c r="F29" s="166">
        <f>SUM(F30:F33)</f>
        <v>679883.31</v>
      </c>
      <c r="G29" s="166">
        <f>SUM(G30:G33)</f>
        <v>-22647.89999999998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18604.29</v>
      </c>
      <c r="E30" s="68">
        <v>18378.150000000001</v>
      </c>
      <c r="F30" s="68">
        <f>D30</f>
        <v>18604.29</v>
      </c>
      <c r="G30" s="68">
        <f>E30-D30</f>
        <v>-226.13999999999942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258209.33</v>
      </c>
      <c r="E31" s="68">
        <v>241885</v>
      </c>
      <c r="F31" s="68">
        <f>D31</f>
        <v>258209.33</v>
      </c>
      <c r="G31" s="68">
        <f>E31-D31</f>
        <v>-16324.329999999987</v>
      </c>
    </row>
    <row r="32" spans="1:9" s="97" customFormat="1" x14ac:dyDescent="0.25">
      <c r="A32" s="95" t="s">
        <v>42</v>
      </c>
      <c r="B32" s="9" t="s">
        <v>40</v>
      </c>
      <c r="C32" s="158">
        <v>0</v>
      </c>
      <c r="D32" s="96">
        <v>0</v>
      </c>
      <c r="E32" s="96">
        <v>0</v>
      </c>
      <c r="F32" s="96">
        <f>D32</f>
        <v>0</v>
      </c>
      <c r="G32" s="96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403069.69</v>
      </c>
      <c r="E33" s="68">
        <v>396972.26</v>
      </c>
      <c r="F33" s="68">
        <f>D33</f>
        <v>403069.69</v>
      </c>
      <c r="G33" s="68">
        <f>E33-D33</f>
        <v>-6097.429999999993</v>
      </c>
    </row>
    <row r="34" spans="1:10" s="20" customFormat="1" ht="7.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240254.16000000015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13888.84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-80458.221300000005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7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10" ht="4.5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12"/>
    </row>
    <row r="43" spans="1:10" s="12" customFormat="1" ht="12.7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SUM(F44:G46)</f>
        <v>30649.151299999998</v>
      </c>
      <c r="G43" s="312"/>
    </row>
    <row r="44" spans="1:10" ht="12.75" customHeight="1" x14ac:dyDescent="0.25">
      <c r="A44" s="9" t="s">
        <v>16</v>
      </c>
      <c r="B44" s="298" t="s">
        <v>287</v>
      </c>
      <c r="C44" s="299"/>
      <c r="D44" s="177" t="s">
        <v>255</v>
      </c>
      <c r="E44" s="177">
        <v>8</v>
      </c>
      <c r="F44" s="329">
        <v>18137.73</v>
      </c>
      <c r="G44" s="330"/>
    </row>
    <row r="45" spans="1:10" ht="12.75" customHeight="1" x14ac:dyDescent="0.25">
      <c r="A45" s="9" t="s">
        <v>18</v>
      </c>
      <c r="B45" s="298" t="s">
        <v>293</v>
      </c>
      <c r="C45" s="299"/>
      <c r="D45" s="177" t="s">
        <v>292</v>
      </c>
      <c r="E45" s="177">
        <v>0.24</v>
      </c>
      <c r="F45" s="329">
        <v>12171.48</v>
      </c>
      <c r="G45" s="330"/>
    </row>
    <row r="46" spans="1:10" s="48" customFormat="1" ht="12.75" customHeight="1" x14ac:dyDescent="0.25">
      <c r="A46" s="9" t="s">
        <v>20</v>
      </c>
      <c r="B46" s="327" t="s">
        <v>533</v>
      </c>
      <c r="C46" s="328"/>
      <c r="D46" s="204"/>
      <c r="E46" s="204"/>
      <c r="F46" s="331">
        <f>E27*1%</f>
        <v>339.94129999999996</v>
      </c>
      <c r="G46" s="332"/>
    </row>
    <row r="47" spans="1:10" s="3" customFormat="1" x14ac:dyDescent="0.25">
      <c r="A47" s="3" t="s">
        <v>55</v>
      </c>
      <c r="C47" s="3" t="s">
        <v>49</v>
      </c>
      <c r="F47" s="3" t="s">
        <v>102</v>
      </c>
    </row>
    <row r="48" spans="1:10" s="3" customFormat="1" ht="13.5" customHeight="1" x14ac:dyDescent="0.25">
      <c r="F48" s="4" t="s">
        <v>265</v>
      </c>
    </row>
    <row r="49" spans="1:7" s="3" customFormat="1" x14ac:dyDescent="0.25">
      <c r="A49" s="3" t="s">
        <v>50</v>
      </c>
    </row>
    <row r="50" spans="1:7" s="3" customFormat="1" x14ac:dyDescent="0.25">
      <c r="C50" s="14" t="s">
        <v>51</v>
      </c>
      <c r="E50" s="14"/>
      <c r="F50" s="14"/>
      <c r="G50" s="14"/>
    </row>
    <row r="51" spans="1:7" s="3" customFormat="1" x14ac:dyDescent="0.25"/>
    <row r="52" spans="1:7" s="3" customFormat="1" x14ac:dyDescent="0.25"/>
  </sheetData>
  <mergeCells count="20">
    <mergeCell ref="F43:G43"/>
    <mergeCell ref="B42:C42"/>
    <mergeCell ref="B43:C43"/>
    <mergeCell ref="B44:C44"/>
    <mergeCell ref="F46:G46"/>
    <mergeCell ref="B46:C46"/>
    <mergeCell ref="F45:G45"/>
    <mergeCell ref="B45:C45"/>
    <mergeCell ref="A1:I1"/>
    <mergeCell ref="A2:I2"/>
    <mergeCell ref="A5:I5"/>
    <mergeCell ref="A10:I10"/>
    <mergeCell ref="A3:K3"/>
    <mergeCell ref="A35:C35"/>
    <mergeCell ref="A11:I11"/>
    <mergeCell ref="A12:I12"/>
    <mergeCell ref="F44:G44"/>
    <mergeCell ref="A13:C13"/>
    <mergeCell ref="A40:I40"/>
    <mergeCell ref="F42:G42"/>
  </mergeCells>
  <phoneticPr fontId="18" type="noConversion"/>
  <pageMargins left="0" right="0" top="0" bottom="0" header="0.31496062992125984" footer="0.31496062992125984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1.42578125" style="1" customWidth="1"/>
    <col min="3" max="3" width="13.28515625" style="1" customWidth="1"/>
    <col min="4" max="4" width="13.5703125" style="1" customWidth="1"/>
    <col min="5" max="5" width="13.140625" style="1" customWidth="1"/>
    <col min="6" max="6" width="12.85546875" style="1" customWidth="1"/>
    <col min="7" max="7" width="13.28515625" style="1" customWidth="1"/>
    <col min="8" max="8" width="10.85546875" style="1" hidden="1" customWidth="1" outlineLevel="1"/>
    <col min="9" max="9" width="14.42578125" style="1" hidden="1" customWidth="1" outlineLevel="1"/>
    <col min="10" max="11" width="9.140625" style="1" hidden="1" customWidth="1" outlineLevel="1"/>
    <col min="12" max="12" width="9.140625" style="1" hidden="1" customWidth="1" outlineLevel="1" collapsed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7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.75" customHeight="1" x14ac:dyDescent="0.25"/>
    <row r="7" spans="1:11" s="3" customFormat="1" ht="16.5" customHeight="1" x14ac:dyDescent="0.25">
      <c r="A7" s="3" t="s">
        <v>2</v>
      </c>
      <c r="F7" s="4" t="s">
        <v>69</v>
      </c>
    </row>
    <row r="8" spans="1:11" s="3" customFormat="1" x14ac:dyDescent="0.25">
      <c r="A8" s="3" t="s">
        <v>3</v>
      </c>
      <c r="F8" s="4" t="s">
        <v>157</v>
      </c>
    </row>
    <row r="9" spans="1:11" s="3" customFormat="1" ht="18" customHeight="1" x14ac:dyDescent="0.25"/>
    <row r="10" spans="1:11" s="3" customFormat="1" ht="11.25" customHeigh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ht="13.5" customHeigh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2.75" customHeight="1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482397.57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15518.56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-40738.120000000003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198450.24</v>
      </c>
      <c r="E19" s="165">
        <v>190858.8</v>
      </c>
      <c r="F19" s="165">
        <f>D19</f>
        <v>198450.24</v>
      </c>
      <c r="G19" s="166">
        <f t="shared" ref="G19:G28" si="0">E19-D19</f>
        <v>-7591.4400000000023</v>
      </c>
      <c r="H19" s="122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71488.507508771931</v>
      </c>
      <c r="E20" s="67">
        <f>E19*I20</f>
        <v>68753.813333333324</v>
      </c>
      <c r="F20" s="67">
        <f>D20</f>
        <v>71488.507508771931</v>
      </c>
      <c r="G20" s="68">
        <f t="shared" si="0"/>
        <v>-2734.6941754386062</v>
      </c>
      <c r="H20" s="122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35047.937122807016</v>
      </c>
      <c r="E21" s="67">
        <f>E19*I21</f>
        <v>33707.226666666662</v>
      </c>
      <c r="F21" s="67">
        <f>D21</f>
        <v>35047.937122807016</v>
      </c>
      <c r="G21" s="68">
        <f t="shared" si="0"/>
        <v>-1340.7104561403539</v>
      </c>
      <c r="H21" s="122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31566.353964912276</v>
      </c>
      <c r="E22" s="67">
        <f>E19*I22</f>
        <v>30358.82666666666</v>
      </c>
      <c r="F22" s="67">
        <f>D22</f>
        <v>31566.353964912276</v>
      </c>
      <c r="G22" s="68">
        <f t="shared" si="0"/>
        <v>-1207.5272982456154</v>
      </c>
      <c r="H22" s="122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60347.441403508768</v>
      </c>
      <c r="E23" s="67">
        <f>E19*I23</f>
        <v>58038.933333333327</v>
      </c>
      <c r="F23" s="67">
        <f>D23</f>
        <v>60347.441403508768</v>
      </c>
      <c r="G23" s="68">
        <f t="shared" si="0"/>
        <v>-2308.5080701754414</v>
      </c>
      <c r="H23" s="122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106767.84</v>
      </c>
      <c r="E25" s="166">
        <v>102569.61</v>
      </c>
      <c r="F25" s="166">
        <f>D25</f>
        <v>106767.84</v>
      </c>
      <c r="G25" s="166">
        <f t="shared" si="0"/>
        <v>-4198.2299999999959</v>
      </c>
    </row>
    <row r="26" spans="1:9" s="186" customFormat="1" ht="14.25" x14ac:dyDescent="0.2">
      <c r="A26" s="137" t="s">
        <v>29</v>
      </c>
      <c r="B26" s="170" t="s">
        <v>248</v>
      </c>
      <c r="C26" s="201">
        <v>36.56</v>
      </c>
      <c r="D26" s="166">
        <v>438.48</v>
      </c>
      <c r="E26" s="166">
        <v>412.54</v>
      </c>
      <c r="F26" s="166">
        <f>D26</f>
        <v>438.48</v>
      </c>
      <c r="G26" s="166">
        <f t="shared" si="0"/>
        <v>-25.939999999999998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38298.480000000003</v>
      </c>
      <c r="E27" s="166">
        <f>37636.9+29.37</f>
        <v>37666.270000000004</v>
      </c>
      <c r="F27" s="172">
        <f>F44</f>
        <v>10788.862700000001</v>
      </c>
      <c r="G27" s="166">
        <f t="shared" si="0"/>
        <v>-632.20999999999913</v>
      </c>
    </row>
    <row r="28" spans="1:9" s="186" customFormat="1" ht="14.25" x14ac:dyDescent="0.2">
      <c r="A28" s="137" t="s">
        <v>33</v>
      </c>
      <c r="B28" s="36" t="s">
        <v>34</v>
      </c>
      <c r="C28" s="202">
        <v>0</v>
      </c>
      <c r="D28" s="166">
        <v>0</v>
      </c>
      <c r="E28" s="166">
        <v>156.9</v>
      </c>
      <c r="F28" s="172">
        <v>0</v>
      </c>
      <c r="G28" s="166">
        <f t="shared" si="0"/>
        <v>156.9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1070369.22</v>
      </c>
      <c r="E29" s="166">
        <f>SUM(E30:E33)</f>
        <v>1003357.7</v>
      </c>
      <c r="F29" s="166">
        <f>SUM(F30:F33)</f>
        <v>1070369.22</v>
      </c>
      <c r="G29" s="166">
        <f>SUM(G30:G33)</f>
        <v>-67011.51999999996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13180.29</v>
      </c>
      <c r="E30" s="68">
        <v>12719.36</v>
      </c>
      <c r="F30" s="68">
        <f>D30</f>
        <v>13180.29</v>
      </c>
      <c r="G30" s="68">
        <f>E30-D30</f>
        <v>-460.93000000000029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358008.66</v>
      </c>
      <c r="E31" s="68">
        <v>326360.15999999997</v>
      </c>
      <c r="F31" s="68">
        <f>D31</f>
        <v>358008.66</v>
      </c>
      <c r="G31" s="68">
        <f>E31-D31</f>
        <v>-31648.5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699180.27</v>
      </c>
      <c r="E33" s="68">
        <v>664278.18000000005</v>
      </c>
      <c r="F33" s="68">
        <f>D33</f>
        <v>699180.27</v>
      </c>
      <c r="G33" s="68">
        <f>E33-D33</f>
        <v>-34902.089999999967</v>
      </c>
    </row>
    <row r="34" spans="1:10" s="20" customFormat="1" ht="6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561700.01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15675.46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-13860.7127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s="3" customFormat="1" ht="9" customHeight="1" x14ac:dyDescent="0.25"/>
    <row r="41" spans="1:10" ht="23.25" customHeight="1" x14ac:dyDescent="0.25">
      <c r="A41" s="289" t="s">
        <v>44</v>
      </c>
      <c r="B41" s="289"/>
      <c r="C41" s="289"/>
      <c r="D41" s="289"/>
      <c r="E41" s="289"/>
      <c r="F41" s="289"/>
      <c r="G41" s="289"/>
      <c r="H41" s="289"/>
      <c r="I41" s="289"/>
    </row>
    <row r="42" spans="1:10" ht="6.75" customHeight="1" x14ac:dyDescent="0.25"/>
    <row r="43" spans="1:10" s="7" customFormat="1" ht="28.5" customHeight="1" x14ac:dyDescent="0.25">
      <c r="A43" s="5" t="s">
        <v>11</v>
      </c>
      <c r="B43" s="306" t="s">
        <v>45</v>
      </c>
      <c r="C43" s="307"/>
      <c r="D43" s="5" t="s">
        <v>254</v>
      </c>
      <c r="E43" s="5" t="s">
        <v>253</v>
      </c>
      <c r="F43" s="306" t="s">
        <v>46</v>
      </c>
      <c r="G43" s="312"/>
    </row>
    <row r="44" spans="1:10" s="12" customFormat="1" ht="13.5" customHeight="1" x14ac:dyDescent="0.25">
      <c r="A44" s="11" t="s">
        <v>47</v>
      </c>
      <c r="B44" s="308" t="s">
        <v>127</v>
      </c>
      <c r="C44" s="309"/>
      <c r="D44" s="176"/>
      <c r="E44" s="176"/>
      <c r="F44" s="316">
        <f>SUM(F45:G48)</f>
        <v>10788.862700000001</v>
      </c>
      <c r="G44" s="312"/>
    </row>
    <row r="45" spans="1:10" s="48" customFormat="1" ht="13.5" customHeight="1" x14ac:dyDescent="0.25">
      <c r="A45" s="47" t="s">
        <v>16</v>
      </c>
      <c r="B45" s="333" t="s">
        <v>294</v>
      </c>
      <c r="C45" s="335"/>
      <c r="D45" s="203" t="s">
        <v>295</v>
      </c>
      <c r="E45" s="204">
        <v>0.48499999999999999</v>
      </c>
      <c r="F45" s="317">
        <v>1047.69</v>
      </c>
      <c r="G45" s="317"/>
    </row>
    <row r="46" spans="1:10" s="48" customFormat="1" ht="13.5" customHeight="1" x14ac:dyDescent="0.25">
      <c r="A46" s="9" t="s">
        <v>18</v>
      </c>
      <c r="B46" s="333" t="s">
        <v>296</v>
      </c>
      <c r="C46" s="335"/>
      <c r="D46" s="203"/>
      <c r="E46" s="204"/>
      <c r="F46" s="317">
        <v>2887.5</v>
      </c>
      <c r="G46" s="317"/>
    </row>
    <row r="47" spans="1:10" s="48" customFormat="1" ht="13.5" customHeight="1" x14ac:dyDescent="0.25">
      <c r="A47" s="9" t="s">
        <v>20</v>
      </c>
      <c r="B47" s="333" t="s">
        <v>297</v>
      </c>
      <c r="C47" s="335"/>
      <c r="D47" s="203" t="s">
        <v>295</v>
      </c>
      <c r="E47" s="204">
        <v>8</v>
      </c>
      <c r="F47" s="317">
        <v>6477.01</v>
      </c>
      <c r="G47" s="317"/>
    </row>
    <row r="48" spans="1:10" s="48" customFormat="1" ht="13.5" customHeight="1" x14ac:dyDescent="0.25">
      <c r="A48" s="9" t="s">
        <v>22</v>
      </c>
      <c r="B48" s="333" t="s">
        <v>533</v>
      </c>
      <c r="C48" s="334"/>
      <c r="D48" s="204"/>
      <c r="E48" s="204"/>
      <c r="F48" s="331">
        <f>E27*1%</f>
        <v>376.66270000000003</v>
      </c>
      <c r="G48" s="332"/>
    </row>
    <row r="49" spans="1:7" s="48" customFormat="1" ht="15.75" customHeight="1" x14ac:dyDescent="0.25">
      <c r="A49" s="50"/>
      <c r="B49" s="51"/>
      <c r="C49" s="51"/>
      <c r="D49" s="51"/>
      <c r="E49" s="51"/>
      <c r="F49" s="52"/>
      <c r="G49" s="52"/>
    </row>
    <row r="50" spans="1:7" s="3" customFormat="1" x14ac:dyDescent="0.25">
      <c r="A50" s="3" t="s">
        <v>55</v>
      </c>
      <c r="C50" s="3" t="s">
        <v>49</v>
      </c>
      <c r="F50" s="3" t="s">
        <v>102</v>
      </c>
    </row>
    <row r="51" spans="1:7" s="3" customFormat="1" ht="13.5" customHeight="1" x14ac:dyDescent="0.25">
      <c r="F51" s="4" t="s">
        <v>265</v>
      </c>
    </row>
    <row r="52" spans="1:7" s="3" customFormat="1" ht="21" customHeight="1" x14ac:dyDescent="0.25">
      <c r="A52" s="3" t="s">
        <v>50</v>
      </c>
    </row>
    <row r="53" spans="1:7" s="3" customFormat="1" x14ac:dyDescent="0.25">
      <c r="C53" s="14" t="s">
        <v>51</v>
      </c>
      <c r="E53" s="14"/>
      <c r="F53" s="14"/>
      <c r="G53" s="14"/>
    </row>
    <row r="54" spans="1:7" s="3" customFormat="1" x14ac:dyDescent="0.25"/>
    <row r="55" spans="1:7" s="3" customFormat="1" x14ac:dyDescent="0.25"/>
  </sheetData>
  <mergeCells count="22">
    <mergeCell ref="A1:I1"/>
    <mergeCell ref="A2:I2"/>
    <mergeCell ref="A5:I5"/>
    <mergeCell ref="A10:I10"/>
    <mergeCell ref="A3:K3"/>
    <mergeCell ref="A11:I11"/>
    <mergeCell ref="A13:C13"/>
    <mergeCell ref="A12:I12"/>
    <mergeCell ref="F45:G45"/>
    <mergeCell ref="A35:C35"/>
    <mergeCell ref="A41:I41"/>
    <mergeCell ref="F43:G43"/>
    <mergeCell ref="F44:G44"/>
    <mergeCell ref="B43:C43"/>
    <mergeCell ref="B44:C44"/>
    <mergeCell ref="B45:C45"/>
    <mergeCell ref="F48:G48"/>
    <mergeCell ref="B48:C48"/>
    <mergeCell ref="B46:C46"/>
    <mergeCell ref="B47:C47"/>
    <mergeCell ref="F46:G46"/>
    <mergeCell ref="F47:G47"/>
  </mergeCells>
  <phoneticPr fontId="18" type="noConversion"/>
  <pageMargins left="0" right="0" top="0" bottom="0" header="0.31496062992125984" footer="0.31496062992125984"/>
  <pageSetup paperSize="9" scale="96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3.28515625" style="1" customWidth="1"/>
    <col min="3" max="3" width="13.140625" style="1" customWidth="1"/>
    <col min="4" max="4" width="12" style="1" customWidth="1"/>
    <col min="5" max="5" width="12.5703125" style="1" customWidth="1"/>
    <col min="6" max="6" width="11.14062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85546875" style="1" bestFit="1" customWidth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4.2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70</v>
      </c>
    </row>
    <row r="8" spans="1:11" s="3" customFormat="1" x14ac:dyDescent="0.25">
      <c r="A8" s="3" t="s">
        <v>3</v>
      </c>
      <c r="F8" s="4" t="s">
        <v>71</v>
      </c>
    </row>
    <row r="9" spans="1:11" s="3" customFormat="1" ht="7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166752.04999999999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15509.3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5985.73</v>
      </c>
      <c r="H16" s="40"/>
      <c r="I16" s="40"/>
    </row>
    <row r="17" spans="1:9" s="3" customFormat="1" ht="9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8.5" x14ac:dyDescent="0.2">
      <c r="A19" s="187" t="s">
        <v>14</v>
      </c>
      <c r="B19" s="137" t="s">
        <v>15</v>
      </c>
      <c r="C19" s="180">
        <f>C20+C21+C22+C23</f>
        <v>8.5500000000000007</v>
      </c>
      <c r="D19" s="165">
        <v>131575.32</v>
      </c>
      <c r="E19" s="165">
        <v>140245.67000000001</v>
      </c>
      <c r="F19" s="165">
        <f>D19</f>
        <v>131575.32</v>
      </c>
      <c r="G19" s="166">
        <f t="shared" ref="G19:G28" si="0">E19-D19</f>
        <v>8670.3500000000058</v>
      </c>
      <c r="H19" s="189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47397.893052631582</v>
      </c>
      <c r="E20" s="67">
        <f>E19*I20</f>
        <v>50521.247204678366</v>
      </c>
      <c r="F20" s="67">
        <f>D20</f>
        <v>47397.893052631582</v>
      </c>
      <c r="G20" s="68">
        <f t="shared" si="0"/>
        <v>3123.3541520467843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23237.278736842105</v>
      </c>
      <c r="E21" s="67">
        <f>E19*I21</f>
        <v>24768.533532163743</v>
      </c>
      <c r="F21" s="67">
        <f>D21</f>
        <v>23237.278736842105</v>
      </c>
      <c r="G21" s="68">
        <f t="shared" si="0"/>
        <v>1531.2547953216381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20928.939789473683</v>
      </c>
      <c r="E22" s="67">
        <f>E19*I22</f>
        <v>22308.083181286551</v>
      </c>
      <c r="F22" s="67">
        <f>D22</f>
        <v>20928.939789473683</v>
      </c>
      <c r="G22" s="68">
        <f t="shared" si="0"/>
        <v>1379.1433918128678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40011.20842105263</v>
      </c>
      <c r="E23" s="67">
        <f>E19*I23</f>
        <v>42647.806081871349</v>
      </c>
      <c r="F23" s="67">
        <f>D23</f>
        <v>40011.20842105263</v>
      </c>
      <c r="G23" s="68">
        <f t="shared" si="0"/>
        <v>2636.5976608187193</v>
      </c>
      <c r="H23" s="71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70788.479999999996</v>
      </c>
      <c r="E25" s="166">
        <v>73766.14</v>
      </c>
      <c r="F25" s="166">
        <f>D25</f>
        <v>70788.479999999996</v>
      </c>
      <c r="G25" s="166">
        <f t="shared" si="0"/>
        <v>2977.6600000000035</v>
      </c>
    </row>
    <row r="26" spans="1:9" s="186" customFormat="1" ht="14.25" x14ac:dyDescent="0.2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25392.6</v>
      </c>
      <c r="E27" s="166">
        <v>27642.95</v>
      </c>
      <c r="F27" s="172">
        <f>F43</f>
        <v>9404.299500000001</v>
      </c>
      <c r="G27" s="166">
        <f t="shared" si="0"/>
        <v>2250.3500000000022</v>
      </c>
    </row>
    <row r="28" spans="1:9" s="186" customFormat="1" ht="14.25" x14ac:dyDescent="0.2">
      <c r="A28" s="137" t="s">
        <v>33</v>
      </c>
      <c r="B28" s="36" t="s">
        <v>34</v>
      </c>
      <c r="C28" s="202">
        <v>0</v>
      </c>
      <c r="D28" s="166">
        <v>0</v>
      </c>
      <c r="E28" s="166">
        <v>54.85</v>
      </c>
      <c r="F28" s="172">
        <v>0</v>
      </c>
      <c r="G28" s="166">
        <f t="shared" si="0"/>
        <v>54.85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634476.63</v>
      </c>
      <c r="E29" s="166">
        <f>SUM(E30:E33)</f>
        <v>660741.49</v>
      </c>
      <c r="F29" s="166">
        <f>SUM(F30:F33)</f>
        <v>628460.42999999993</v>
      </c>
      <c r="G29" s="166">
        <f>SUM(G30:G33)</f>
        <v>26264.860000000015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6016.2</v>
      </c>
      <c r="E30" s="68">
        <v>6178.48</v>
      </c>
      <c r="F30" s="68">
        <v>0</v>
      </c>
      <c r="G30" s="68">
        <f>E30-D30</f>
        <v>162.27999999999975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164894.74</v>
      </c>
      <c r="E31" s="68">
        <v>166142.70000000001</v>
      </c>
      <c r="F31" s="68">
        <f>D31</f>
        <v>164894.74</v>
      </c>
      <c r="G31" s="68">
        <f>E31-D31</f>
        <v>1247.960000000021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3" x14ac:dyDescent="0.25">
      <c r="A33" s="9" t="s">
        <v>41</v>
      </c>
      <c r="B33" s="9" t="s">
        <v>43</v>
      </c>
      <c r="C33" s="152" t="s">
        <v>247</v>
      </c>
      <c r="D33" s="68">
        <v>463565.69</v>
      </c>
      <c r="E33" s="68">
        <v>488420.31</v>
      </c>
      <c r="F33" s="68">
        <f>D33</f>
        <v>463565.69</v>
      </c>
      <c r="G33" s="68">
        <f>E33-D33</f>
        <v>24854.619999999995</v>
      </c>
    </row>
    <row r="34" spans="1:13" s="20" customFormat="1" ht="6.7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3" s="15" customFormat="1" ht="15.75" thickBot="1" x14ac:dyDescent="0.3">
      <c r="A35" s="287" t="s">
        <v>241</v>
      </c>
      <c r="B35" s="288"/>
      <c r="C35" s="288"/>
      <c r="D35" s="38">
        <f>D13+D19+D24+D25+D26+D27+D28+D29-E19-E24-E25-E26-E27-E28-E29</f>
        <v>126533.97999999998</v>
      </c>
      <c r="E35" s="39"/>
      <c r="F35" s="39"/>
      <c r="G35" s="39"/>
      <c r="H35" s="40"/>
      <c r="I35" s="40"/>
    </row>
    <row r="36" spans="1:13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3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15564.15</v>
      </c>
      <c r="H37" s="40"/>
      <c r="I37" s="40"/>
    </row>
    <row r="38" spans="1:13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24224.380499999999</v>
      </c>
      <c r="H38" s="40"/>
      <c r="I38" s="40"/>
      <c r="M38" s="71"/>
    </row>
    <row r="39" spans="1:13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3" ht="26.25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13" ht="6" customHeight="1" x14ac:dyDescent="0.25"/>
    <row r="42" spans="1:13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12"/>
    </row>
    <row r="43" spans="1:13" s="12" customFormat="1" ht="12.7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SUM(F44:L46)</f>
        <v>9404.299500000001</v>
      </c>
      <c r="G43" s="312"/>
    </row>
    <row r="44" spans="1:13" ht="12.75" customHeight="1" x14ac:dyDescent="0.25">
      <c r="A44" s="9" t="s">
        <v>16</v>
      </c>
      <c r="B44" s="298" t="s">
        <v>298</v>
      </c>
      <c r="C44" s="299"/>
      <c r="D44" s="177" t="s">
        <v>262</v>
      </c>
      <c r="E44" s="177">
        <v>8</v>
      </c>
      <c r="F44" s="315">
        <v>2447.44</v>
      </c>
      <c r="G44" s="315"/>
    </row>
    <row r="45" spans="1:13" ht="12.75" customHeight="1" x14ac:dyDescent="0.25">
      <c r="A45" s="9" t="s">
        <v>18</v>
      </c>
      <c r="B45" s="298" t="s">
        <v>299</v>
      </c>
      <c r="C45" s="299"/>
      <c r="D45" s="177" t="s">
        <v>255</v>
      </c>
      <c r="E45" s="177">
        <v>7</v>
      </c>
      <c r="F45" s="329">
        <v>6680.43</v>
      </c>
      <c r="G45" s="330"/>
    </row>
    <row r="46" spans="1:13" ht="12.75" customHeight="1" x14ac:dyDescent="0.25">
      <c r="A46" s="9" t="s">
        <v>20</v>
      </c>
      <c r="B46" s="298" t="s">
        <v>533</v>
      </c>
      <c r="C46" s="299"/>
      <c r="D46" s="177"/>
      <c r="E46" s="177"/>
      <c r="F46" s="315">
        <f>E27*1%</f>
        <v>276.42950000000002</v>
      </c>
      <c r="G46" s="315"/>
    </row>
    <row r="47" spans="1:13" ht="12.75" customHeight="1" x14ac:dyDescent="0.25">
      <c r="A47" s="49"/>
      <c r="B47" s="74"/>
      <c r="C47" s="74"/>
      <c r="D47" s="74"/>
      <c r="E47" s="74"/>
      <c r="F47" s="75"/>
      <c r="G47" s="75"/>
    </row>
    <row r="48" spans="1:13" x14ac:dyDescent="0.25">
      <c r="B48" s="13"/>
      <c r="C48" s="13"/>
      <c r="D48" s="13"/>
      <c r="E48" s="13"/>
    </row>
    <row r="49" spans="1:7" s="3" customFormat="1" x14ac:dyDescent="0.25">
      <c r="A49" s="3" t="s">
        <v>55</v>
      </c>
      <c r="C49" s="3" t="s">
        <v>49</v>
      </c>
      <c r="F49" s="3" t="s">
        <v>102</v>
      </c>
    </row>
    <row r="50" spans="1:7" s="3" customFormat="1" ht="13.5" customHeight="1" x14ac:dyDescent="0.25">
      <c r="F50" s="4" t="s">
        <v>265</v>
      </c>
    </row>
    <row r="51" spans="1:7" s="3" customFormat="1" x14ac:dyDescent="0.25">
      <c r="A51" s="3" t="s">
        <v>50</v>
      </c>
    </row>
    <row r="52" spans="1:7" s="3" customFormat="1" x14ac:dyDescent="0.25">
      <c r="C52" s="14" t="s">
        <v>51</v>
      </c>
      <c r="E52" s="14"/>
      <c r="F52" s="14"/>
      <c r="G52" s="14"/>
    </row>
    <row r="53" spans="1:7" s="3" customFormat="1" x14ac:dyDescent="0.25"/>
    <row r="54" spans="1:7" s="3" customFormat="1" x14ac:dyDescent="0.25"/>
  </sheetData>
  <mergeCells count="20">
    <mergeCell ref="A11:I11"/>
    <mergeCell ref="F44:G44"/>
    <mergeCell ref="A12:I12"/>
    <mergeCell ref="A40:I40"/>
    <mergeCell ref="F43:G43"/>
    <mergeCell ref="A13:C13"/>
    <mergeCell ref="B42:C42"/>
    <mergeCell ref="B43:C43"/>
    <mergeCell ref="B44:C44"/>
    <mergeCell ref="A1:I1"/>
    <mergeCell ref="A2:I2"/>
    <mergeCell ref="A5:I5"/>
    <mergeCell ref="A10:I10"/>
    <mergeCell ref="A3:K3"/>
    <mergeCell ref="F45:G45"/>
    <mergeCell ref="A35:C35"/>
    <mergeCell ref="F42:G42"/>
    <mergeCell ref="B45:C45"/>
    <mergeCell ref="F46:G46"/>
    <mergeCell ref="B46:C46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F46" sqref="F46"/>
    </sheetView>
  </sheetViews>
  <sheetFormatPr defaultRowHeight="15" outlineLevelCol="1" x14ac:dyDescent="0.25"/>
  <cols>
    <col min="1" max="1" width="4.7109375" style="1" customWidth="1"/>
    <col min="2" max="2" width="40.28515625" style="1" customWidth="1"/>
    <col min="3" max="3" width="13" style="1" customWidth="1"/>
    <col min="4" max="4" width="13.42578125" style="1" customWidth="1"/>
    <col min="5" max="5" width="12.7109375" style="1" customWidth="1"/>
    <col min="6" max="6" width="12.4257812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2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2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7.5" customHeight="1" x14ac:dyDescent="0.25"/>
    <row r="7" spans="1:11" s="3" customFormat="1" ht="16.5" customHeight="1" x14ac:dyDescent="0.25">
      <c r="A7" s="3" t="s">
        <v>2</v>
      </c>
      <c r="F7" s="4" t="s">
        <v>72</v>
      </c>
    </row>
    <row r="8" spans="1:11" s="3" customFormat="1" x14ac:dyDescent="0.25">
      <c r="A8" s="3" t="s">
        <v>3</v>
      </c>
      <c r="F8" s="4" t="s">
        <v>185</v>
      </c>
    </row>
    <row r="9" spans="1:11" s="3" customFormat="1" ht="9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72634.86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-64957.68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-892.01</v>
      </c>
      <c r="H16" s="40"/>
      <c r="I16" s="40"/>
    </row>
    <row r="17" spans="1:9" s="3" customFormat="1" ht="9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178627.56</v>
      </c>
      <c r="E19" s="165">
        <v>166431.66</v>
      </c>
      <c r="F19" s="165">
        <f>D19</f>
        <v>178627.56</v>
      </c>
      <c r="G19" s="166">
        <f t="shared" ref="G19:G28" si="0">E19-D19</f>
        <v>-12195.899999999994</v>
      </c>
      <c r="H19" s="122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64347.705824561403</v>
      </c>
      <c r="E20" s="67">
        <f>E19*I20</f>
        <v>59954.328982456143</v>
      </c>
      <c r="F20" s="67">
        <f>D20</f>
        <v>64347.705824561403</v>
      </c>
      <c r="G20" s="68">
        <f t="shared" si="0"/>
        <v>-4393.3768421052591</v>
      </c>
      <c r="H20" s="122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31547.089543859645</v>
      </c>
      <c r="E21" s="67">
        <f>E19*I21</f>
        <v>29393.193754385964</v>
      </c>
      <c r="F21" s="67">
        <f>D21</f>
        <v>31547.089543859645</v>
      </c>
      <c r="G21" s="68">
        <f t="shared" si="0"/>
        <v>-2153.8957894736814</v>
      </c>
      <c r="H21" s="122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28413.272701754384</v>
      </c>
      <c r="E22" s="67">
        <f>E19*I22</f>
        <v>26473.340070175436</v>
      </c>
      <c r="F22" s="67">
        <f>D22</f>
        <v>28413.272701754384</v>
      </c>
      <c r="G22" s="68">
        <f t="shared" si="0"/>
        <v>-1939.9326315789476</v>
      </c>
      <c r="H22" s="122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54319.491929824559</v>
      </c>
      <c r="E23" s="67">
        <f>E19*I23</f>
        <v>50610.797192982456</v>
      </c>
      <c r="F23" s="67">
        <f>D23</f>
        <v>54319.491929824559</v>
      </c>
      <c r="G23" s="68">
        <f t="shared" si="0"/>
        <v>-3708.6947368421024</v>
      </c>
      <c r="H23" s="122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96103.2</v>
      </c>
      <c r="E25" s="166">
        <v>89555.24</v>
      </c>
      <c r="F25" s="166">
        <f>D25</f>
        <v>96103.2</v>
      </c>
      <c r="G25" s="166">
        <f t="shared" si="0"/>
        <v>-6547.9599999999919</v>
      </c>
    </row>
    <row r="26" spans="1:9" s="186" customFormat="1" ht="14.25" x14ac:dyDescent="0.2">
      <c r="A26" s="137" t="s">
        <v>29</v>
      </c>
      <c r="B26" s="170" t="s">
        <v>248</v>
      </c>
      <c r="C26" s="201">
        <v>1755.25</v>
      </c>
      <c r="D26" s="166">
        <v>12652.56</v>
      </c>
      <c r="E26" s="166">
        <v>12065.06</v>
      </c>
      <c r="F26" s="166">
        <f>D26</f>
        <v>12652.56</v>
      </c>
      <c r="G26" s="166">
        <f t="shared" si="0"/>
        <v>-587.5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34472.76</v>
      </c>
      <c r="E27" s="166">
        <v>32392.02</v>
      </c>
      <c r="F27" s="172">
        <f>F43</f>
        <v>11516.200200000001</v>
      </c>
      <c r="G27" s="166">
        <f t="shared" si="0"/>
        <v>-2080.7400000000016</v>
      </c>
    </row>
    <row r="28" spans="1:9" s="186" customFormat="1" ht="14.25" x14ac:dyDescent="0.2">
      <c r="A28" s="137" t="s">
        <v>33</v>
      </c>
      <c r="B28" s="36" t="s">
        <v>34</v>
      </c>
      <c r="C28" s="202">
        <v>0</v>
      </c>
      <c r="D28" s="166">
        <v>0</v>
      </c>
      <c r="E28" s="166">
        <v>20.81</v>
      </c>
      <c r="F28" s="172">
        <v>0</v>
      </c>
      <c r="G28" s="166">
        <f t="shared" si="0"/>
        <v>20.81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679676.64</v>
      </c>
      <c r="E29" s="166">
        <f>SUM(E30:E33)</f>
        <v>655351.23</v>
      </c>
      <c r="F29" s="166">
        <f>SUM(F30:F33)</f>
        <v>679676.64</v>
      </c>
      <c r="G29" s="166">
        <f>SUM(G30:G33)</f>
        <v>-24325.409999999985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18940.669999999998</v>
      </c>
      <c r="E30" s="68">
        <v>18237.09</v>
      </c>
      <c r="F30" s="68">
        <f>D30</f>
        <v>18940.669999999998</v>
      </c>
      <c r="G30" s="68">
        <f>E30-D30</f>
        <v>-703.57999999999811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200450.92</v>
      </c>
      <c r="E31" s="68">
        <v>192802.32</v>
      </c>
      <c r="F31" s="68">
        <f>D31</f>
        <v>200450.92</v>
      </c>
      <c r="G31" s="68">
        <f>E31-D31</f>
        <v>-7648.6000000000058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460285.05</v>
      </c>
      <c r="E33" s="68">
        <v>444311.82</v>
      </c>
      <c r="F33" s="68">
        <f>D33</f>
        <v>460285.05</v>
      </c>
      <c r="G33" s="68">
        <f>E33-D33</f>
        <v>-15973.229999999981</v>
      </c>
    </row>
    <row r="34" spans="1:10" s="20" customFormat="1" ht="7.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213</v>
      </c>
      <c r="B35" s="288"/>
      <c r="C35" s="288"/>
      <c r="D35" s="73">
        <f>D13+D19+D24+D25+D26+D27+D28+D29-E19-E24-E25-E26-E27-E28-E29</f>
        <v>118351.55999999994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-64936.87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19983.809800000003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5.5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10" ht="5.25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12"/>
    </row>
    <row r="43" spans="1:10" s="12" customFormat="1" ht="12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SUM(F44:G45)</f>
        <v>11516.200200000001</v>
      </c>
      <c r="G43" s="312"/>
    </row>
    <row r="44" spans="1:10" s="12" customFormat="1" ht="12" customHeight="1" x14ac:dyDescent="0.25">
      <c r="A44" s="9" t="s">
        <v>16</v>
      </c>
      <c r="B44" s="294" t="s">
        <v>300</v>
      </c>
      <c r="C44" s="295"/>
      <c r="D44" s="215" t="s">
        <v>262</v>
      </c>
      <c r="E44" s="215">
        <v>2</v>
      </c>
      <c r="F44" s="338">
        <v>11192.28</v>
      </c>
      <c r="G44" s="339"/>
    </row>
    <row r="45" spans="1:10" ht="14.25" customHeight="1" x14ac:dyDescent="0.25">
      <c r="A45" s="9" t="s">
        <v>18</v>
      </c>
      <c r="B45" s="298" t="s">
        <v>533</v>
      </c>
      <c r="C45" s="299"/>
      <c r="D45" s="177"/>
      <c r="E45" s="177"/>
      <c r="F45" s="336">
        <f>E27*1%</f>
        <v>323.92020000000002</v>
      </c>
      <c r="G45" s="337"/>
    </row>
    <row r="46" spans="1:10" x14ac:dyDescent="0.25">
      <c r="B46" s="13"/>
      <c r="C46" s="13"/>
      <c r="D46" s="13"/>
      <c r="E46" s="13"/>
    </row>
    <row r="47" spans="1:10" s="3" customFormat="1" x14ac:dyDescent="0.25">
      <c r="A47" s="3" t="s">
        <v>55</v>
      </c>
      <c r="C47" s="3" t="s">
        <v>49</v>
      </c>
      <c r="F47" s="3" t="s">
        <v>102</v>
      </c>
    </row>
    <row r="48" spans="1:10" s="3" customFormat="1" ht="13.5" customHeight="1" x14ac:dyDescent="0.25">
      <c r="F48" s="4" t="s">
        <v>265</v>
      </c>
    </row>
    <row r="49" spans="1:7" s="3" customFormat="1" x14ac:dyDescent="0.25">
      <c r="A49" s="3" t="s">
        <v>50</v>
      </c>
    </row>
    <row r="50" spans="1:7" s="3" customFormat="1" x14ac:dyDescent="0.25">
      <c r="C50" s="14" t="s">
        <v>51</v>
      </c>
      <c r="E50" s="14"/>
      <c r="F50" s="14"/>
      <c r="G50" s="14"/>
    </row>
    <row r="51" spans="1:7" s="3" customFormat="1" x14ac:dyDescent="0.25"/>
    <row r="52" spans="1:7" s="3" customFormat="1" x14ac:dyDescent="0.25"/>
  </sheetData>
  <mergeCells count="18">
    <mergeCell ref="F45:G45"/>
    <mergeCell ref="B45:C45"/>
    <mergeCell ref="B42:C42"/>
    <mergeCell ref="B43:C43"/>
    <mergeCell ref="B44:C44"/>
    <mergeCell ref="F44:G44"/>
    <mergeCell ref="A1:I1"/>
    <mergeCell ref="A2:I2"/>
    <mergeCell ref="A5:I5"/>
    <mergeCell ref="A10:I10"/>
    <mergeCell ref="A3:K3"/>
    <mergeCell ref="A11:I11"/>
    <mergeCell ref="A40:I40"/>
    <mergeCell ref="A13:C13"/>
    <mergeCell ref="A12:I12"/>
    <mergeCell ref="F43:G43"/>
    <mergeCell ref="A35:C35"/>
    <mergeCell ref="F42:G42"/>
  </mergeCells>
  <phoneticPr fontId="18" type="noConversion"/>
  <pageMargins left="0" right="0" top="0" bottom="0" header="0.31496062992125984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F44" sqref="F44:G44"/>
    </sheetView>
  </sheetViews>
  <sheetFormatPr defaultRowHeight="15" outlineLevelCol="1" x14ac:dyDescent="0.25"/>
  <cols>
    <col min="1" max="1" width="4.7109375" style="1" customWidth="1"/>
    <col min="2" max="2" width="40.5703125" style="1" customWidth="1"/>
    <col min="3" max="3" width="13.28515625" style="1" customWidth="1"/>
    <col min="4" max="5" width="13.140625" style="1" bestFit="1" customWidth="1"/>
    <col min="6" max="6" width="14" style="1" customWidth="1"/>
    <col min="7" max="7" width="13.5703125" style="1" customWidth="1"/>
    <col min="8" max="8" width="10.85546875" style="1" hidden="1" customWidth="1" outlineLevel="1"/>
    <col min="9" max="9" width="13.285156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3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7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6" customHeight="1" x14ac:dyDescent="0.25"/>
    <row r="7" spans="1:11" s="3" customFormat="1" ht="16.5" customHeight="1" x14ac:dyDescent="0.25">
      <c r="A7" s="3" t="s">
        <v>2</v>
      </c>
      <c r="F7" s="4" t="s">
        <v>141</v>
      </c>
    </row>
    <row r="8" spans="1:11" s="3" customFormat="1" x14ac:dyDescent="0.25">
      <c r="A8" s="3" t="s">
        <v>3</v>
      </c>
      <c r="F8" s="4" t="s">
        <v>186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374362.46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-8037.73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-381665.31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8.5" x14ac:dyDescent="0.2">
      <c r="A19" s="187" t="s">
        <v>14</v>
      </c>
      <c r="B19" s="137" t="s">
        <v>15</v>
      </c>
      <c r="C19" s="180">
        <f>C20+C21+C22+C23</f>
        <v>8.5500000000000007</v>
      </c>
      <c r="D19" s="165">
        <v>349878.12</v>
      </c>
      <c r="E19" s="165">
        <v>354948.62</v>
      </c>
      <c r="F19" s="165">
        <f>D19</f>
        <v>349878.12</v>
      </c>
      <c r="G19" s="166">
        <f t="shared" ref="G19:G28" si="0">E19-D19</f>
        <v>5070.5</v>
      </c>
      <c r="H19" s="189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126037.96603508771</v>
      </c>
      <c r="E20" s="67">
        <f>E19*I20</f>
        <v>127864.53211695906</v>
      </c>
      <c r="F20" s="67">
        <f>D20</f>
        <v>126037.96603508771</v>
      </c>
      <c r="G20" s="68">
        <f t="shared" si="0"/>
        <v>1826.5660818713513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61791.340491228068</v>
      </c>
      <c r="E21" s="67">
        <f>E19*I21</f>
        <v>62686.832304093557</v>
      </c>
      <c r="F21" s="67">
        <f>D21</f>
        <v>61791.340491228068</v>
      </c>
      <c r="G21" s="68">
        <f t="shared" si="0"/>
        <v>895.49181286548992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55653.127859649117</v>
      </c>
      <c r="E22" s="67">
        <f>E19*I22</f>
        <v>56459.663532163737</v>
      </c>
      <c r="F22" s="67">
        <f>D22</f>
        <v>55653.127859649117</v>
      </c>
      <c r="G22" s="68">
        <f t="shared" si="0"/>
        <v>806.53567251461936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106395.68561403509</v>
      </c>
      <c r="E23" s="67">
        <f>E19*I23</f>
        <v>107937.59204678361</v>
      </c>
      <c r="F23" s="67">
        <f>D23</f>
        <v>106395.68561403509</v>
      </c>
      <c r="G23" s="68">
        <f t="shared" si="0"/>
        <v>1541.9064327485248</v>
      </c>
      <c r="H23" s="71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188237.52</v>
      </c>
      <c r="E25" s="166">
        <v>190716.68</v>
      </c>
      <c r="F25" s="166">
        <f>D25</f>
        <v>188237.52</v>
      </c>
      <c r="G25" s="166">
        <f t="shared" si="0"/>
        <v>2479.1600000000035</v>
      </c>
    </row>
    <row r="26" spans="1:9" s="186" customFormat="1" ht="14.25" x14ac:dyDescent="0.2">
      <c r="A26" s="137" t="s">
        <v>29</v>
      </c>
      <c r="B26" s="170" t="s">
        <v>248</v>
      </c>
      <c r="C26" s="201">
        <v>1755.25</v>
      </c>
      <c r="D26" s="166">
        <v>12387.86</v>
      </c>
      <c r="E26" s="166">
        <v>12426.36</v>
      </c>
      <c r="F26" s="166">
        <f>D26</f>
        <v>12387.86</v>
      </c>
      <c r="G26" s="166">
        <f t="shared" si="0"/>
        <v>38.5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67521.84</v>
      </c>
      <c r="E27" s="166">
        <f>68837.61+311.11</f>
        <v>69148.72</v>
      </c>
      <c r="F27" s="172">
        <f>F43</f>
        <v>128462.7372</v>
      </c>
      <c r="G27" s="166">
        <f t="shared" si="0"/>
        <v>1626.8800000000047</v>
      </c>
    </row>
    <row r="28" spans="1:9" s="186" customFormat="1" ht="14.25" x14ac:dyDescent="0.2">
      <c r="A28" s="137" t="s">
        <v>33</v>
      </c>
      <c r="B28" s="36" t="s">
        <v>34</v>
      </c>
      <c r="C28" s="202">
        <v>0</v>
      </c>
      <c r="D28" s="166">
        <v>0</v>
      </c>
      <c r="E28" s="166">
        <v>2048.5</v>
      </c>
      <c r="F28" s="172">
        <v>0</v>
      </c>
      <c r="G28" s="166">
        <f t="shared" si="0"/>
        <v>2048.5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1524601.3</v>
      </c>
      <c r="E29" s="166">
        <f>SUM(E30:E33)</f>
        <v>1537523.78</v>
      </c>
      <c r="F29" s="166">
        <f>SUM(F30:F33)</f>
        <v>1524601.3</v>
      </c>
      <c r="G29" s="166">
        <f>SUM(G30:G33)</f>
        <v>12922.480000000036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26371.62</v>
      </c>
      <c r="E30" s="68">
        <v>26719</v>
      </c>
      <c r="F30" s="68">
        <f>D30</f>
        <v>26371.62</v>
      </c>
      <c r="G30" s="68">
        <f>E30-D30</f>
        <v>347.38000000000102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484905.71</v>
      </c>
      <c r="E31" s="68">
        <v>494200.49</v>
      </c>
      <c r="F31" s="68">
        <f>D31</f>
        <v>484905.71</v>
      </c>
      <c r="G31" s="68">
        <f>E31-D31</f>
        <v>9294.7799999999697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1013323.97</v>
      </c>
      <c r="E33" s="68">
        <v>1016604.29</v>
      </c>
      <c r="F33" s="68">
        <f>D33</f>
        <v>1013323.97</v>
      </c>
      <c r="G33" s="68">
        <f>E33-D33</f>
        <v>3280.3200000000652</v>
      </c>
    </row>
    <row r="34" spans="1:10" s="20" customFormat="1" ht="6.7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D19+D24+D25+D26+D27+D28+D29+D13-E24-E25-E26-E27-E28-E29-E19</f>
        <v>350176.43999999983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-5989.23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-440979.32719999994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8.5" customHeight="1" x14ac:dyDescent="0.25">
      <c r="A40" s="340" t="s">
        <v>44</v>
      </c>
      <c r="B40" s="340"/>
      <c r="C40" s="340"/>
      <c r="D40" s="340"/>
      <c r="E40" s="340"/>
      <c r="F40" s="340"/>
      <c r="G40" s="340"/>
      <c r="H40" s="340"/>
      <c r="I40" s="340"/>
    </row>
    <row r="41" spans="1:10" ht="5.25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07"/>
    </row>
    <row r="43" spans="1:10" s="12" customFormat="1" ht="12.7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SUM(F44:G50)</f>
        <v>128462.7372</v>
      </c>
      <c r="G43" s="312"/>
    </row>
    <row r="44" spans="1:10" ht="12.75" customHeight="1" x14ac:dyDescent="0.25">
      <c r="A44" s="9" t="s">
        <v>16</v>
      </c>
      <c r="B44" s="298" t="s">
        <v>301</v>
      </c>
      <c r="C44" s="299"/>
      <c r="D44" s="177" t="s">
        <v>255</v>
      </c>
      <c r="E44" s="177">
        <v>10.5</v>
      </c>
      <c r="F44" s="329">
        <v>8869.0400000000009</v>
      </c>
      <c r="G44" s="330"/>
    </row>
    <row r="45" spans="1:10" ht="12.75" customHeight="1" x14ac:dyDescent="0.25">
      <c r="A45" s="9" t="s">
        <v>18</v>
      </c>
      <c r="B45" s="298" t="s">
        <v>302</v>
      </c>
      <c r="C45" s="299"/>
      <c r="D45" s="177" t="s">
        <v>262</v>
      </c>
      <c r="E45" s="177">
        <v>20</v>
      </c>
      <c r="F45" s="315">
        <v>10235.99</v>
      </c>
      <c r="G45" s="315"/>
    </row>
    <row r="46" spans="1:10" s="48" customFormat="1" ht="12.75" customHeight="1" x14ac:dyDescent="0.25">
      <c r="A46" s="47" t="s">
        <v>20</v>
      </c>
      <c r="B46" s="298" t="s">
        <v>303</v>
      </c>
      <c r="C46" s="299"/>
      <c r="D46" s="203" t="s">
        <v>262</v>
      </c>
      <c r="E46" s="204">
        <v>2</v>
      </c>
      <c r="F46" s="317">
        <v>968.91</v>
      </c>
      <c r="G46" s="317"/>
    </row>
    <row r="47" spans="1:10" s="48" customFormat="1" ht="12" customHeight="1" x14ac:dyDescent="0.25">
      <c r="A47" s="47" t="s">
        <v>22</v>
      </c>
      <c r="B47" s="298" t="s">
        <v>304</v>
      </c>
      <c r="C47" s="299"/>
      <c r="D47" s="203" t="s">
        <v>295</v>
      </c>
      <c r="E47" s="204">
        <v>180</v>
      </c>
      <c r="F47" s="317">
        <v>69542.66</v>
      </c>
      <c r="G47" s="317"/>
    </row>
    <row r="48" spans="1:10" s="48" customFormat="1" ht="12" customHeight="1" x14ac:dyDescent="0.25">
      <c r="A48" s="47" t="s">
        <v>22</v>
      </c>
      <c r="B48" s="298" t="s">
        <v>544</v>
      </c>
      <c r="C48" s="299"/>
      <c r="D48" s="203"/>
      <c r="E48" s="204"/>
      <c r="F48" s="317">
        <v>15171.17</v>
      </c>
      <c r="G48" s="317"/>
    </row>
    <row r="49" spans="1:7" s="48" customFormat="1" ht="12" customHeight="1" x14ac:dyDescent="0.25">
      <c r="A49" s="9" t="s">
        <v>24</v>
      </c>
      <c r="B49" s="298" t="s">
        <v>548</v>
      </c>
      <c r="C49" s="299"/>
      <c r="D49" s="203"/>
      <c r="E49" s="204"/>
      <c r="F49" s="317">
        <v>22983.48</v>
      </c>
      <c r="G49" s="317"/>
    </row>
    <row r="50" spans="1:7" s="48" customFormat="1" ht="13.5" customHeight="1" x14ac:dyDescent="0.25">
      <c r="A50" s="9" t="s">
        <v>117</v>
      </c>
      <c r="B50" s="327" t="s">
        <v>533</v>
      </c>
      <c r="C50" s="328"/>
      <c r="D50" s="204"/>
      <c r="E50" s="204"/>
      <c r="F50" s="331">
        <f>E27*1%</f>
        <v>691.48720000000003</v>
      </c>
      <c r="G50" s="332"/>
    </row>
    <row r="51" spans="1:7" s="48" customFormat="1" ht="13.5" customHeight="1" x14ac:dyDescent="0.25">
      <c r="A51" s="49"/>
      <c r="B51" s="51"/>
      <c r="C51" s="51"/>
      <c r="D51" s="51"/>
      <c r="E51" s="51"/>
      <c r="F51" s="52"/>
      <c r="G51" s="52"/>
    </row>
    <row r="52" spans="1:7" s="3" customFormat="1" x14ac:dyDescent="0.25"/>
    <row r="53" spans="1:7" s="3" customFormat="1" ht="15" customHeight="1" x14ac:dyDescent="0.25">
      <c r="A53" s="3" t="s">
        <v>55</v>
      </c>
      <c r="C53" s="3" t="s">
        <v>49</v>
      </c>
      <c r="F53" s="3" t="s">
        <v>102</v>
      </c>
    </row>
    <row r="54" spans="1:7" s="3" customFormat="1" ht="13.5" customHeight="1" x14ac:dyDescent="0.25">
      <c r="F54" s="4" t="s">
        <v>265</v>
      </c>
    </row>
    <row r="55" spans="1:7" s="3" customFormat="1" x14ac:dyDescent="0.25">
      <c r="A55" s="3" t="s">
        <v>50</v>
      </c>
    </row>
    <row r="56" spans="1:7" s="3" customFormat="1" ht="11.25" customHeight="1" x14ac:dyDescent="0.25">
      <c r="C56" s="14" t="s">
        <v>51</v>
      </c>
      <c r="E56" s="14"/>
      <c r="F56" s="14"/>
      <c r="G56" s="14"/>
    </row>
    <row r="57" spans="1:7" s="3" customFormat="1" x14ac:dyDescent="0.25"/>
    <row r="58" spans="1:7" s="3" customFormat="1" x14ac:dyDescent="0.25"/>
  </sheetData>
  <mergeCells count="28">
    <mergeCell ref="F47:G47"/>
    <mergeCell ref="F44:G44"/>
    <mergeCell ref="F50:G50"/>
    <mergeCell ref="B47:C47"/>
    <mergeCell ref="B50:C50"/>
    <mergeCell ref="B48:C48"/>
    <mergeCell ref="F48:G48"/>
    <mergeCell ref="B49:C49"/>
    <mergeCell ref="F49:G49"/>
    <mergeCell ref="A1:I1"/>
    <mergeCell ref="A2:I2"/>
    <mergeCell ref="A5:I5"/>
    <mergeCell ref="A10:I10"/>
    <mergeCell ref="A3:K3"/>
    <mergeCell ref="A11:I11"/>
    <mergeCell ref="F45:G45"/>
    <mergeCell ref="F46:G46"/>
    <mergeCell ref="F42:G42"/>
    <mergeCell ref="B42:C42"/>
    <mergeCell ref="B43:C43"/>
    <mergeCell ref="B44:C44"/>
    <mergeCell ref="B45:C45"/>
    <mergeCell ref="B46:C46"/>
    <mergeCell ref="A12:I12"/>
    <mergeCell ref="A40:I40"/>
    <mergeCell ref="A35:C35"/>
    <mergeCell ref="F43:G43"/>
    <mergeCell ref="A13:C13"/>
  </mergeCells>
  <phoneticPr fontId="18" type="noConversion"/>
  <pageMargins left="0" right="0" top="0" bottom="0" header="0.31496062992125984" footer="0.31496062992125984"/>
  <pageSetup paperSize="9" scale="8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zoomScaleSheetLayoutView="100" workbookViewId="0">
      <selection activeCell="D13" sqref="D13"/>
    </sheetView>
  </sheetViews>
  <sheetFormatPr defaultRowHeight="15" outlineLevelCol="1" x14ac:dyDescent="0.25"/>
  <cols>
    <col min="1" max="1" width="4.7109375" style="1" customWidth="1"/>
    <col min="2" max="2" width="45.5703125" style="1" customWidth="1"/>
    <col min="3" max="3" width="12.85546875" style="1" customWidth="1"/>
    <col min="4" max="4" width="13.140625" style="1" bestFit="1" customWidth="1"/>
    <col min="5" max="5" width="12.7109375" style="1" customWidth="1"/>
    <col min="6" max="6" width="15.2851562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4.2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4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3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73</v>
      </c>
    </row>
    <row r="8" spans="1:11" s="3" customFormat="1" x14ac:dyDescent="0.25">
      <c r="A8" s="3" t="s">
        <v>3</v>
      </c>
      <c r="F8" s="4" t="s">
        <v>187</v>
      </c>
    </row>
    <row r="9" spans="1:11" s="3" customFormat="1" ht="6.7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305</v>
      </c>
      <c r="B13" s="288"/>
      <c r="C13" s="288"/>
      <c r="D13" s="38">
        <v>320431.78999999998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-43533.13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-2174.71</v>
      </c>
      <c r="H16" s="40"/>
      <c r="I16" s="40"/>
    </row>
    <row r="17" spans="1:9" s="3" customFormat="1" ht="7.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459783.6</v>
      </c>
      <c r="E19" s="165">
        <v>443212.64</v>
      </c>
      <c r="F19" s="165">
        <f>D19</f>
        <v>459783.6</v>
      </c>
      <c r="G19" s="166">
        <f t="shared" ref="G19:G28" si="0">E19-D19</f>
        <v>-16570.959999999963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165629.64771929823</v>
      </c>
      <c r="E20" s="67">
        <f>E19*I20</f>
        <v>159660.22587134503</v>
      </c>
      <c r="F20" s="67">
        <f>D20</f>
        <v>165629.64771929823</v>
      </c>
      <c r="G20" s="68">
        <f t="shared" si="0"/>
        <v>-5969.4218479531992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81201.548070175428</v>
      </c>
      <c r="E21" s="67">
        <f>E19*I21</f>
        <v>78274.980865497069</v>
      </c>
      <c r="F21" s="67">
        <f>D21</f>
        <v>81201.548070175428</v>
      </c>
      <c r="G21" s="68">
        <f t="shared" si="0"/>
        <v>-2926.5672046783584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73135.169122807012</v>
      </c>
      <c r="E22" s="67">
        <f>E19*I22</f>
        <v>70499.320514619874</v>
      </c>
      <c r="F22" s="67">
        <f>D22</f>
        <v>73135.169122807012</v>
      </c>
      <c r="G22" s="68">
        <f t="shared" si="0"/>
        <v>-2635.8486081871379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139817.23508771928</v>
      </c>
      <c r="E23" s="67">
        <f>E19*I23</f>
        <v>134778.112748538</v>
      </c>
      <c r="F23" s="67">
        <f>D23</f>
        <v>139817.23508771928</v>
      </c>
      <c r="G23" s="68">
        <f t="shared" si="0"/>
        <v>-5039.1223391812819</v>
      </c>
      <c r="H23" s="71">
        <f t="shared" si="1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247367.28</v>
      </c>
      <c r="E25" s="166">
        <v>238360.08</v>
      </c>
      <c r="F25" s="166">
        <f>D25</f>
        <v>247367.28</v>
      </c>
      <c r="G25" s="166">
        <f t="shared" si="0"/>
        <v>-9007.2000000000116</v>
      </c>
    </row>
    <row r="26" spans="1:9" x14ac:dyDescent="0.25">
      <c r="A26" s="137" t="s">
        <v>29</v>
      </c>
      <c r="B26" s="170" t="s">
        <v>248</v>
      </c>
      <c r="C26" s="201">
        <v>1755.25</v>
      </c>
      <c r="D26" s="166">
        <v>12582.84</v>
      </c>
      <c r="E26" s="166">
        <v>12149.28</v>
      </c>
      <c r="F26" s="166">
        <f>D26</f>
        <v>12582.84</v>
      </c>
      <c r="G26" s="166">
        <f t="shared" si="0"/>
        <v>-433.55999999999949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88732.68</v>
      </c>
      <c r="E27" s="166">
        <f>85789.2+367.84</f>
        <v>86157.04</v>
      </c>
      <c r="F27" s="172">
        <f>F42</f>
        <v>166399.42039999997</v>
      </c>
      <c r="G27" s="166">
        <f t="shared" si="0"/>
        <v>-2575.6399999999994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0.32</v>
      </c>
      <c r="F28" s="172">
        <v>0</v>
      </c>
      <c r="G28" s="166">
        <f t="shared" si="0"/>
        <v>0.32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1956385.21</v>
      </c>
      <c r="E29" s="166">
        <f>SUM(E30:E33)</f>
        <v>1878358.7599999998</v>
      </c>
      <c r="F29" s="166">
        <f>SUM(F30:F33)</f>
        <v>1956385.21</v>
      </c>
      <c r="G29" s="166">
        <f>SUM(G30:G33)</f>
        <v>-78026.450000000055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61711.93</v>
      </c>
      <c r="E30" s="68">
        <v>59015.54</v>
      </c>
      <c r="F30" s="68">
        <f>D30</f>
        <v>61711.93</v>
      </c>
      <c r="G30" s="68">
        <f>E30-D30</f>
        <v>-2696.3899999999994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627213.86</v>
      </c>
      <c r="E31" s="68">
        <v>602559.82999999996</v>
      </c>
      <c r="F31" s="68">
        <f>D31</f>
        <v>627213.86</v>
      </c>
      <c r="G31" s="68">
        <f>E31-D31</f>
        <v>-24654.030000000028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s="20" customFormat="1" ht="15.75" thickBot="1" x14ac:dyDescent="0.3">
      <c r="A33" s="9" t="s">
        <v>41</v>
      </c>
      <c r="B33" s="9" t="s">
        <v>43</v>
      </c>
      <c r="C33" s="152" t="s">
        <v>247</v>
      </c>
      <c r="D33" s="68">
        <v>1267459.42</v>
      </c>
      <c r="E33" s="68">
        <v>1216783.3899999999</v>
      </c>
      <c r="F33" s="68">
        <f>D33</f>
        <v>1267459.42</v>
      </c>
      <c r="G33" s="68">
        <f>E33-D33</f>
        <v>-50676.030000000028</v>
      </c>
      <c r="H33" s="22"/>
      <c r="I33" s="22"/>
      <c r="J33" s="22"/>
    </row>
    <row r="34" spans="1:10" s="15" customFormat="1" ht="15.75" thickBot="1" x14ac:dyDescent="0.3">
      <c r="A34" s="287" t="s">
        <v>241</v>
      </c>
      <c r="B34" s="288"/>
      <c r="C34" s="288"/>
      <c r="D34" s="73">
        <f>D13+D19+D24+D25+D26+D27+D28+D29-E19-E24-E25-E26-E27-E28-E29</f>
        <v>427045.28000000026</v>
      </c>
      <c r="E34" s="39"/>
      <c r="F34" s="39"/>
      <c r="G34" s="39"/>
      <c r="H34" s="40"/>
      <c r="I34" s="40"/>
    </row>
    <row r="35" spans="1:10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87" t="s">
        <v>242</v>
      </c>
      <c r="B36" s="43"/>
      <c r="C36" s="43"/>
      <c r="D36" s="44"/>
      <c r="E36" s="45"/>
      <c r="F36" s="45"/>
      <c r="G36" s="38">
        <f>G15+E28-F28</f>
        <v>-43532.81</v>
      </c>
      <c r="H36" s="40"/>
      <c r="I36" s="40"/>
    </row>
    <row r="37" spans="1:10" s="15" customFormat="1" ht="15.75" thickBot="1" x14ac:dyDescent="0.3">
      <c r="A37" s="138" t="s">
        <v>243</v>
      </c>
      <c r="B37" s="139"/>
      <c r="C37" s="139"/>
      <c r="D37" s="44"/>
      <c r="E37" s="45"/>
      <c r="F37" s="45"/>
      <c r="G37" s="38">
        <f>G16+E27-F27</f>
        <v>-82417.090399999986</v>
      </c>
      <c r="H37" s="40"/>
      <c r="I37" s="40"/>
    </row>
    <row r="38" spans="1:10" s="15" customFormat="1" x14ac:dyDescent="0.25">
      <c r="A38" s="140"/>
      <c r="B38" s="41"/>
      <c r="C38" s="41"/>
      <c r="D38" s="42"/>
      <c r="E38" s="39"/>
      <c r="F38" s="39"/>
      <c r="G38" s="42"/>
      <c r="H38" s="40"/>
      <c r="I38" s="40"/>
    </row>
    <row r="39" spans="1:10" ht="25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4.5" customHeight="1" x14ac:dyDescent="0.25"/>
    <row r="41" spans="1:10" s="7" customFormat="1" ht="28.5" customHeight="1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</row>
    <row r="42" spans="1:10" s="12" customFormat="1" ht="12.75" customHeigh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SUM(F43:L48)</f>
        <v>166399.42039999997</v>
      </c>
      <c r="G42" s="312"/>
    </row>
    <row r="43" spans="1:10" ht="12.75" customHeight="1" x14ac:dyDescent="0.25">
      <c r="A43" s="9" t="s">
        <v>16</v>
      </c>
      <c r="B43" s="298" t="s">
        <v>306</v>
      </c>
      <c r="C43" s="299"/>
      <c r="D43" s="177" t="s">
        <v>262</v>
      </c>
      <c r="E43" s="177">
        <v>3</v>
      </c>
      <c r="F43" s="329">
        <v>112295.22</v>
      </c>
      <c r="G43" s="330"/>
    </row>
    <row r="44" spans="1:10" ht="12.75" customHeight="1" x14ac:dyDescent="0.25">
      <c r="A44" s="9" t="s">
        <v>18</v>
      </c>
      <c r="B44" s="298" t="s">
        <v>307</v>
      </c>
      <c r="C44" s="299"/>
      <c r="D44" s="177" t="s">
        <v>255</v>
      </c>
      <c r="E44" s="177">
        <v>4.5</v>
      </c>
      <c r="F44" s="315">
        <v>15239.96</v>
      </c>
      <c r="G44" s="315"/>
    </row>
    <row r="45" spans="1:10" ht="12.75" customHeight="1" x14ac:dyDescent="0.25">
      <c r="A45" s="9" t="s">
        <v>20</v>
      </c>
      <c r="B45" s="298" t="s">
        <v>308</v>
      </c>
      <c r="C45" s="299"/>
      <c r="D45" s="177" t="s">
        <v>262</v>
      </c>
      <c r="E45" s="177">
        <v>1</v>
      </c>
      <c r="F45" s="329">
        <v>13000</v>
      </c>
      <c r="G45" s="330"/>
    </row>
    <row r="46" spans="1:10" ht="12.75" customHeight="1" x14ac:dyDescent="0.25">
      <c r="A46" s="9" t="s">
        <v>22</v>
      </c>
      <c r="B46" s="298" t="s">
        <v>309</v>
      </c>
      <c r="C46" s="299"/>
      <c r="D46" s="177"/>
      <c r="E46" s="177"/>
      <c r="F46" s="329">
        <v>24354.77</v>
      </c>
      <c r="G46" s="330"/>
    </row>
    <row r="47" spans="1:10" ht="12.75" customHeight="1" x14ac:dyDescent="0.25">
      <c r="A47" s="9" t="s">
        <v>24</v>
      </c>
      <c r="B47" s="298" t="s">
        <v>310</v>
      </c>
      <c r="C47" s="299"/>
      <c r="D47" s="177"/>
      <c r="E47" s="177"/>
      <c r="F47" s="329">
        <v>647.9</v>
      </c>
      <c r="G47" s="330"/>
    </row>
    <row r="48" spans="1:10" x14ac:dyDescent="0.25">
      <c r="A48" s="9" t="s">
        <v>117</v>
      </c>
      <c r="B48" s="149" t="s">
        <v>533</v>
      </c>
      <c r="C48" s="150"/>
      <c r="D48" s="177"/>
      <c r="E48" s="177"/>
      <c r="F48" s="315">
        <f>E27*1%</f>
        <v>861.57039999999995</v>
      </c>
      <c r="G48" s="315"/>
    </row>
    <row r="49" spans="1:7" s="3" customFormat="1" ht="13.5" customHeight="1" x14ac:dyDescent="0.25"/>
    <row r="50" spans="1:7" s="3" customFormat="1" x14ac:dyDescent="0.25">
      <c r="A50" s="3" t="s">
        <v>55</v>
      </c>
      <c r="C50" s="3" t="s">
        <v>49</v>
      </c>
      <c r="F50" s="3" t="s">
        <v>102</v>
      </c>
    </row>
    <row r="51" spans="1:7" s="3" customFormat="1" ht="12" customHeight="1" x14ac:dyDescent="0.25">
      <c r="F51" s="4" t="s">
        <v>265</v>
      </c>
    </row>
    <row r="52" spans="1:7" s="3" customFormat="1" x14ac:dyDescent="0.25">
      <c r="A52" s="3" t="s">
        <v>50</v>
      </c>
    </row>
    <row r="53" spans="1:7" s="3" customFormat="1" x14ac:dyDescent="0.25">
      <c r="C53" s="14" t="s">
        <v>51</v>
      </c>
      <c r="E53" s="14"/>
      <c r="F53" s="14"/>
      <c r="G53" s="14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</sheetData>
  <mergeCells count="25">
    <mergeCell ref="B46:C46"/>
    <mergeCell ref="B47:C47"/>
    <mergeCell ref="A12:I12"/>
    <mergeCell ref="F44:G44"/>
    <mergeCell ref="A13:C13"/>
    <mergeCell ref="A34:C34"/>
    <mergeCell ref="A39:I39"/>
    <mergeCell ref="B41:C41"/>
    <mergeCell ref="B42:C42"/>
    <mergeCell ref="B43:C43"/>
    <mergeCell ref="B44:C44"/>
    <mergeCell ref="B45:C45"/>
    <mergeCell ref="F48:G48"/>
    <mergeCell ref="F43:G43"/>
    <mergeCell ref="F41:G41"/>
    <mergeCell ref="F46:G46"/>
    <mergeCell ref="F47:G47"/>
    <mergeCell ref="F42:G42"/>
    <mergeCell ref="F45:G45"/>
    <mergeCell ref="A11:I11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scale="84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G15" sqref="G15"/>
    </sheetView>
  </sheetViews>
  <sheetFormatPr defaultRowHeight="15" outlineLevelCol="1" x14ac:dyDescent="0.25"/>
  <cols>
    <col min="1" max="1" width="4.7109375" style="1" customWidth="1"/>
    <col min="2" max="2" width="47.28515625" style="1" customWidth="1"/>
    <col min="3" max="3" width="12.85546875" style="1" customWidth="1"/>
    <col min="4" max="4" width="13.5703125" style="1" customWidth="1"/>
    <col min="5" max="5" width="15.5703125" style="1" customWidth="1"/>
    <col min="6" max="6" width="14.5703125" style="1" customWidth="1"/>
    <col min="7" max="7" width="13.285156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3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6.75" customHeight="1" x14ac:dyDescent="0.25"/>
    <row r="7" spans="1:11" s="3" customFormat="1" ht="16.5" customHeight="1" x14ac:dyDescent="0.25">
      <c r="A7" s="3" t="s">
        <v>2</v>
      </c>
      <c r="F7" s="4" t="s">
        <v>74</v>
      </c>
    </row>
    <row r="8" spans="1:11" s="3" customFormat="1" x14ac:dyDescent="0.25">
      <c r="A8" s="3" t="s">
        <v>3</v>
      </c>
      <c r="F8" s="4" t="s">
        <v>75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341091.49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99543.7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154175.46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320216.40000000002</v>
      </c>
      <c r="E19" s="165">
        <v>321500.21000000002</v>
      </c>
      <c r="F19" s="165">
        <f>D19</f>
        <v>320216.40000000002</v>
      </c>
      <c r="G19" s="166">
        <f>E19-D19</f>
        <v>1283.8099999999977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115352.80842105264</v>
      </c>
      <c r="E20" s="67">
        <f>E19*I20</f>
        <v>115815.28032748538</v>
      </c>
      <c r="F20" s="67">
        <f>D20</f>
        <v>115352.80842105264</v>
      </c>
      <c r="G20" s="68">
        <f t="shared" ref="G20:G28" si="0">E20-D20</f>
        <v>462.47190643273643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56552.83789473684</v>
      </c>
      <c r="E21" s="67">
        <f>E19*I21</f>
        <v>56779.569251461988</v>
      </c>
      <c r="F21" s="67">
        <f>D21</f>
        <v>56552.83789473684</v>
      </c>
      <c r="G21" s="68">
        <f t="shared" si="0"/>
        <v>226.73135672514763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50935.006315789469</v>
      </c>
      <c r="E22" s="67">
        <f>E19*I22</f>
        <v>51139.214690058478</v>
      </c>
      <c r="F22" s="67">
        <f>D22</f>
        <v>50935.006315789469</v>
      </c>
      <c r="G22" s="68">
        <f t="shared" si="0"/>
        <v>204.20837426900835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97375.747368421056</v>
      </c>
      <c r="E23" s="67">
        <f>E19*I23</f>
        <v>97766.145730994147</v>
      </c>
      <c r="F23" s="67">
        <f>D23</f>
        <v>97375.747368421056</v>
      </c>
      <c r="G23" s="68">
        <f t="shared" si="0"/>
        <v>390.39836257309071</v>
      </c>
      <c r="H23" s="71">
        <f t="shared" si="1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172279.2</v>
      </c>
      <c r="E25" s="166">
        <v>173978.28</v>
      </c>
      <c r="F25" s="166">
        <f>D25</f>
        <v>172279.2</v>
      </c>
      <c r="G25" s="166">
        <f t="shared" si="0"/>
        <v>1699.0799999999872</v>
      </c>
    </row>
    <row r="26" spans="1:9" x14ac:dyDescent="0.25">
      <c r="A26" s="137" t="s">
        <v>29</v>
      </c>
      <c r="B26" s="170" t="s">
        <v>248</v>
      </c>
      <c r="C26" s="201">
        <v>36.56</v>
      </c>
      <c r="D26" s="166">
        <v>438.48</v>
      </c>
      <c r="E26" s="166">
        <v>434.51</v>
      </c>
      <c r="F26" s="166">
        <f>D26</f>
        <v>438.48</v>
      </c>
      <c r="G26" s="166">
        <f t="shared" si="0"/>
        <v>-3.9700000000000273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61797.72</v>
      </c>
      <c r="E27" s="166">
        <v>63732.56</v>
      </c>
      <c r="F27" s="172">
        <f>F42</f>
        <v>6945.2456000000002</v>
      </c>
      <c r="G27" s="166">
        <f t="shared" si="0"/>
        <v>1934.8399999999965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1547167.25</v>
      </c>
      <c r="E29" s="166">
        <f>SUM(E30:E33)</f>
        <v>1564944.47</v>
      </c>
      <c r="F29" s="166">
        <f>SUM(F30:F33)</f>
        <v>1547167.25</v>
      </c>
      <c r="G29" s="166">
        <f>SUM(G30:G33)</f>
        <v>17777.220000000041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32598.27</v>
      </c>
      <c r="E30" s="68">
        <v>32783.07</v>
      </c>
      <c r="F30" s="68">
        <f>D30</f>
        <v>32598.27</v>
      </c>
      <c r="G30" s="68">
        <f>E30-D30</f>
        <v>184.79999999999927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386380.78</v>
      </c>
      <c r="E31" s="68">
        <v>392438.6</v>
      </c>
      <c r="F31" s="68">
        <f>D31</f>
        <v>386380.78</v>
      </c>
      <c r="G31" s="68">
        <f>E31-D31</f>
        <v>6057.8199999999488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1128188.2</v>
      </c>
      <c r="E33" s="68">
        <v>1139722.8</v>
      </c>
      <c r="F33" s="68">
        <f>D33</f>
        <v>1128188.2</v>
      </c>
      <c r="G33" s="68">
        <f>E33-D33</f>
        <v>11534.600000000093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318400.51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99543.7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210962.77439999999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5.2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27" customHeight="1" x14ac:dyDescent="0.25"/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SUM(F43:L44)</f>
        <v>6945.2456000000002</v>
      </c>
      <c r="G42" s="312"/>
      <c r="H42" s="12"/>
      <c r="I42" s="12"/>
    </row>
    <row r="43" spans="1:10" s="12" customFormat="1" ht="12.75" customHeight="1" x14ac:dyDescent="0.25">
      <c r="A43" s="9" t="s">
        <v>16</v>
      </c>
      <c r="B43" s="298" t="s">
        <v>311</v>
      </c>
      <c r="C43" s="299"/>
      <c r="D43" s="177" t="s">
        <v>255</v>
      </c>
      <c r="E43" s="177">
        <v>15</v>
      </c>
      <c r="F43" s="329">
        <v>6307.92</v>
      </c>
      <c r="G43" s="330"/>
      <c r="H43" s="1"/>
      <c r="I43" s="1"/>
    </row>
    <row r="44" spans="1:10" s="3" customFormat="1" x14ac:dyDescent="0.25">
      <c r="A44" s="9" t="s">
        <v>18</v>
      </c>
      <c r="B44" s="149" t="s">
        <v>533</v>
      </c>
      <c r="C44" s="150"/>
      <c r="D44" s="177"/>
      <c r="E44" s="177"/>
      <c r="F44" s="315">
        <f>E27*1%</f>
        <v>637.32560000000001</v>
      </c>
      <c r="G44" s="315"/>
      <c r="H44" s="1"/>
      <c r="I44" s="1"/>
    </row>
    <row r="45" spans="1:10" s="3" customFormat="1" ht="13.5" customHeight="1" x14ac:dyDescent="0.25"/>
    <row r="46" spans="1:10" s="3" customFormat="1" x14ac:dyDescent="0.25">
      <c r="A46" s="3" t="s">
        <v>55</v>
      </c>
      <c r="C46" s="3" t="s">
        <v>49</v>
      </c>
      <c r="F46" s="3" t="s">
        <v>102</v>
      </c>
    </row>
    <row r="47" spans="1:10" s="3" customFormat="1" x14ac:dyDescent="0.25">
      <c r="F47" s="4" t="s">
        <v>265</v>
      </c>
    </row>
    <row r="48" spans="1:10" s="3" customFormat="1" x14ac:dyDescent="0.25">
      <c r="A48" s="3" t="s">
        <v>50</v>
      </c>
    </row>
    <row r="49" spans="1:7" s="3" customFormat="1" x14ac:dyDescent="0.25">
      <c r="C49" s="14" t="s">
        <v>51</v>
      </c>
      <c r="E49" s="14"/>
      <c r="F49" s="14"/>
      <c r="G49" s="14"/>
    </row>
    <row r="50" spans="1:7" x14ac:dyDescent="0.25">
      <c r="A50" s="3"/>
      <c r="B50" s="3"/>
      <c r="C50" s="3"/>
      <c r="D50" s="3"/>
      <c r="E50" s="3"/>
      <c r="F50" s="3"/>
      <c r="G50" s="3"/>
    </row>
  </sheetData>
  <mergeCells count="17">
    <mergeCell ref="F44:G44"/>
    <mergeCell ref="A13:C13"/>
    <mergeCell ref="A11:I11"/>
    <mergeCell ref="A12:I12"/>
    <mergeCell ref="F42:G42"/>
    <mergeCell ref="A34:C34"/>
    <mergeCell ref="A39:I39"/>
    <mergeCell ref="B41:C41"/>
    <mergeCell ref="F41:G41"/>
    <mergeCell ref="B42:C42"/>
    <mergeCell ref="F43:G43"/>
    <mergeCell ref="B43:C43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scale="98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4.7109375" style="1" customWidth="1"/>
    <col min="2" max="2" width="49.28515625" style="1" customWidth="1"/>
    <col min="3" max="3" width="12.85546875" style="1" customWidth="1"/>
    <col min="4" max="4" width="13.140625" style="1" bestFit="1" customWidth="1"/>
    <col min="5" max="5" width="13.140625" style="1" customWidth="1"/>
    <col min="6" max="6" width="13.85546875" style="1" customWidth="1"/>
    <col min="7" max="7" width="13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8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7.5" customHeight="1" x14ac:dyDescent="0.25"/>
    <row r="7" spans="1:11" s="3" customFormat="1" ht="16.5" customHeight="1" x14ac:dyDescent="0.25">
      <c r="A7" s="3" t="s">
        <v>2</v>
      </c>
      <c r="F7" s="4" t="s">
        <v>76</v>
      </c>
    </row>
    <row r="8" spans="1:11" s="3" customFormat="1" x14ac:dyDescent="0.25">
      <c r="A8" s="3" t="s">
        <v>3</v>
      </c>
      <c r="F8" s="4" t="s">
        <v>77</v>
      </c>
    </row>
    <row r="9" spans="1:11" s="3" customFormat="1" ht="7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240342.45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-154527.39000000001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-462787.7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279515.15999999997</v>
      </c>
      <c r="E19" s="165">
        <v>284250.76</v>
      </c>
      <c r="F19" s="165">
        <f t="shared" ref="F19:F26" si="0">D19</f>
        <v>279515.15999999997</v>
      </c>
      <c r="G19" s="166">
        <f t="shared" ref="G19:G28" si="1">E19-D19</f>
        <v>4735.6000000000349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100690.84126315788</v>
      </c>
      <c r="E20" s="67">
        <f>E19*I20</f>
        <v>102396.76500584795</v>
      </c>
      <c r="F20" s="67">
        <f t="shared" si="0"/>
        <v>100690.84126315788</v>
      </c>
      <c r="G20" s="68">
        <f t="shared" si="1"/>
        <v>1705.9237426900654</v>
      </c>
      <c r="H20" s="71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49364.665684210515</v>
      </c>
      <c r="E21" s="67">
        <f>E19*I21</f>
        <v>50201.011415204674</v>
      </c>
      <c r="F21" s="67">
        <f t="shared" si="0"/>
        <v>49364.665684210515</v>
      </c>
      <c r="G21" s="68">
        <f t="shared" si="1"/>
        <v>836.34573099415866</v>
      </c>
      <c r="H21" s="71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44460.890947368411</v>
      </c>
      <c r="E22" s="67">
        <f>E19*I22</f>
        <v>45214.155976608185</v>
      </c>
      <c r="F22" s="67">
        <f t="shared" si="0"/>
        <v>44460.890947368411</v>
      </c>
      <c r="G22" s="68">
        <f t="shared" si="1"/>
        <v>753.26502923977387</v>
      </c>
      <c r="H22" s="71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84998.762105263144</v>
      </c>
      <c r="E23" s="67">
        <f>E19*I23</f>
        <v>86438.827602339181</v>
      </c>
      <c r="F23" s="67">
        <f t="shared" si="0"/>
        <v>84998.762105263144</v>
      </c>
      <c r="G23" s="68">
        <f t="shared" si="1"/>
        <v>1440.065497076037</v>
      </c>
      <c r="H23" s="71">
        <f t="shared" si="2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131147.79999999999</v>
      </c>
      <c r="E24" s="166">
        <v>128135.62</v>
      </c>
      <c r="F24" s="166">
        <f>F47</f>
        <v>199123.9</v>
      </c>
      <c r="G24" s="166">
        <f t="shared" si="1"/>
        <v>-3012.179999999993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150381.35999999999</v>
      </c>
      <c r="E25" s="166">
        <v>151922.85</v>
      </c>
      <c r="F25" s="166">
        <f t="shared" si="0"/>
        <v>150381.35999999999</v>
      </c>
      <c r="G25" s="166">
        <f t="shared" si="1"/>
        <v>1541.4900000000198</v>
      </c>
    </row>
    <row r="26" spans="1:9" x14ac:dyDescent="0.25">
      <c r="A26" s="137" t="s">
        <v>29</v>
      </c>
      <c r="B26" s="170" t="s">
        <v>248</v>
      </c>
      <c r="C26" s="201">
        <v>1755.25</v>
      </c>
      <c r="D26" s="166">
        <v>12732.67</v>
      </c>
      <c r="E26" s="166">
        <v>12832.21</v>
      </c>
      <c r="F26" s="166">
        <f t="shared" si="0"/>
        <v>12732.67</v>
      </c>
      <c r="G26" s="166">
        <f t="shared" si="1"/>
        <v>99.539999999999054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53943.12</v>
      </c>
      <c r="E27" s="166">
        <v>55948.26</v>
      </c>
      <c r="F27" s="172">
        <f>F42</f>
        <v>124773.2026</v>
      </c>
      <c r="G27" s="166">
        <f t="shared" si="1"/>
        <v>2005.1399999999994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240.38</v>
      </c>
      <c r="F28" s="172">
        <v>0</v>
      </c>
      <c r="G28" s="166">
        <f t="shared" si="1"/>
        <v>240.38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1066164.31</v>
      </c>
      <c r="E29" s="166">
        <f>SUM(E30:E33)</f>
        <v>1097025.3500000001</v>
      </c>
      <c r="F29" s="166">
        <f>SUM(F30:F33)</f>
        <v>1066164.31</v>
      </c>
      <c r="G29" s="166">
        <f>SUM(G30:G33)</f>
        <v>30861.040000000001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13061.89</v>
      </c>
      <c r="E30" s="68">
        <v>13557.74</v>
      </c>
      <c r="F30" s="68">
        <f>D30</f>
        <v>13061.89</v>
      </c>
      <c r="G30" s="68">
        <f>E30-D30</f>
        <v>495.85000000000036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376280.54</v>
      </c>
      <c r="E31" s="68">
        <v>392159.35</v>
      </c>
      <c r="F31" s="68">
        <f>D31</f>
        <v>376280.54</v>
      </c>
      <c r="G31" s="68">
        <f>E31-D31</f>
        <v>15878.809999999998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676821.88</v>
      </c>
      <c r="E33" s="68">
        <v>691308.26</v>
      </c>
      <c r="F33" s="68">
        <f>D33</f>
        <v>676821.88</v>
      </c>
      <c r="G33" s="68">
        <f>E33-D33</f>
        <v>14486.380000000005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203871.44000000018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-154287.01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-531612.64260000002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6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27.75" customHeight="1" x14ac:dyDescent="0.25"/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SUM(F43:L46)</f>
        <v>124773.2026</v>
      </c>
      <c r="G42" s="312"/>
      <c r="H42" s="12"/>
      <c r="I42" s="12"/>
    </row>
    <row r="43" spans="1:10" ht="12.75" customHeight="1" x14ac:dyDescent="0.25">
      <c r="A43" s="9" t="s">
        <v>16</v>
      </c>
      <c r="B43" s="298" t="s">
        <v>313</v>
      </c>
      <c r="C43" s="299"/>
      <c r="D43" s="177" t="s">
        <v>295</v>
      </c>
      <c r="E43" s="177">
        <v>180</v>
      </c>
      <c r="F43" s="315">
        <v>82039.179999999993</v>
      </c>
      <c r="G43" s="315"/>
    </row>
    <row r="44" spans="1:10" s="48" customFormat="1" ht="12.75" customHeight="1" x14ac:dyDescent="0.25">
      <c r="A44" s="9" t="s">
        <v>18</v>
      </c>
      <c r="B44" s="298" t="s">
        <v>314</v>
      </c>
      <c r="C44" s="299"/>
      <c r="D44" s="177" t="s">
        <v>295</v>
      </c>
      <c r="E44" s="177">
        <v>78</v>
      </c>
      <c r="F44" s="329">
        <v>33177.83</v>
      </c>
      <c r="G44" s="330"/>
      <c r="H44" s="1"/>
      <c r="I44" s="1"/>
    </row>
    <row r="45" spans="1:10" s="48" customFormat="1" ht="12.75" customHeight="1" x14ac:dyDescent="0.25">
      <c r="A45" s="9" t="s">
        <v>20</v>
      </c>
      <c r="B45" s="298" t="s">
        <v>315</v>
      </c>
      <c r="C45" s="299"/>
      <c r="D45" s="177" t="s">
        <v>255</v>
      </c>
      <c r="E45" s="177">
        <v>1.2</v>
      </c>
      <c r="F45" s="329">
        <v>8996.7099999999991</v>
      </c>
      <c r="G45" s="330"/>
      <c r="H45" s="1"/>
      <c r="I45" s="1"/>
    </row>
    <row r="46" spans="1:10" s="48" customFormat="1" ht="12.75" customHeight="1" x14ac:dyDescent="0.25">
      <c r="A46" s="9" t="s">
        <v>22</v>
      </c>
      <c r="B46" s="149" t="s">
        <v>533</v>
      </c>
      <c r="C46" s="150"/>
      <c r="D46" s="177"/>
      <c r="E46" s="177"/>
      <c r="F46" s="315">
        <f>E27*1%</f>
        <v>559.48260000000005</v>
      </c>
      <c r="G46" s="315"/>
      <c r="H46" s="1"/>
      <c r="I46" s="1"/>
    </row>
    <row r="47" spans="1:10" s="48" customFormat="1" ht="12.75" customHeight="1" x14ac:dyDescent="0.25">
      <c r="A47" s="136">
        <v>2</v>
      </c>
      <c r="B47" s="308" t="s">
        <v>170</v>
      </c>
      <c r="C47" s="309"/>
      <c r="D47" s="176"/>
      <c r="E47" s="176"/>
      <c r="F47" s="316">
        <f>SUM(F48:L52)</f>
        <v>199123.9</v>
      </c>
      <c r="G47" s="312"/>
      <c r="H47" s="1"/>
      <c r="I47" s="1"/>
    </row>
    <row r="48" spans="1:10" s="48" customFormat="1" ht="12.75" customHeight="1" x14ac:dyDescent="0.25">
      <c r="A48" s="9" t="s">
        <v>104</v>
      </c>
      <c r="B48" s="298" t="s">
        <v>312</v>
      </c>
      <c r="C48" s="299"/>
      <c r="D48" s="177" t="s">
        <v>255</v>
      </c>
      <c r="E48" s="177">
        <v>9.25</v>
      </c>
      <c r="F48" s="329">
        <v>199123.9</v>
      </c>
      <c r="G48" s="330"/>
      <c r="H48" s="1"/>
      <c r="I48" s="1"/>
    </row>
    <row r="49" spans="1:9" s="48" customFormat="1" ht="12.75" customHeight="1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s="48" customFormat="1" ht="12.75" customHeight="1" x14ac:dyDescent="0.25">
      <c r="A50" s="3" t="s">
        <v>55</v>
      </c>
      <c r="B50" s="3"/>
      <c r="C50" s="3" t="s">
        <v>49</v>
      </c>
      <c r="D50" s="3"/>
      <c r="E50" s="3"/>
      <c r="F50" s="3" t="s">
        <v>102</v>
      </c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4" t="s">
        <v>265</v>
      </c>
      <c r="G51" s="3"/>
      <c r="H51" s="3"/>
      <c r="I51" s="3"/>
    </row>
    <row r="52" spans="1:9" s="3" customFormat="1" x14ac:dyDescent="0.25">
      <c r="A52" s="3" t="s">
        <v>50</v>
      </c>
    </row>
    <row r="53" spans="1:9" s="3" customFormat="1" ht="13.5" customHeight="1" x14ac:dyDescent="0.25">
      <c r="C53" s="14" t="s">
        <v>51</v>
      </c>
      <c r="E53" s="14"/>
      <c r="F53" s="14"/>
      <c r="G53" s="14"/>
    </row>
    <row r="54" spans="1:9" s="3" customFormat="1" x14ac:dyDescent="0.25">
      <c r="H54" s="1"/>
      <c r="I54" s="1"/>
    </row>
    <row r="55" spans="1:9" s="3" customFormat="1" x14ac:dyDescent="0.25">
      <c r="C55" s="14"/>
      <c r="E55" s="14"/>
      <c r="F55" s="14"/>
      <c r="G55" s="14"/>
    </row>
    <row r="56" spans="1:9" s="3" customFormat="1" x14ac:dyDescent="0.25"/>
    <row r="57" spans="1:9" s="3" customFormat="1" x14ac:dyDescent="0.25"/>
  </sheetData>
  <mergeCells count="25">
    <mergeCell ref="B47:C47"/>
    <mergeCell ref="F47:G47"/>
    <mergeCell ref="B48:C48"/>
    <mergeCell ref="F48:G48"/>
    <mergeCell ref="B44:C44"/>
    <mergeCell ref="B45:C45"/>
    <mergeCell ref="A1:I1"/>
    <mergeCell ref="A2:I2"/>
    <mergeCell ref="A5:I5"/>
    <mergeCell ref="A10:I10"/>
    <mergeCell ref="A3:K3"/>
    <mergeCell ref="F46:G46"/>
    <mergeCell ref="F45:G45"/>
    <mergeCell ref="F44:G44"/>
    <mergeCell ref="A12:I12"/>
    <mergeCell ref="A11:I11"/>
    <mergeCell ref="A13:C13"/>
    <mergeCell ref="F43:G43"/>
    <mergeCell ref="F42:G42"/>
    <mergeCell ref="A34:C34"/>
    <mergeCell ref="A39:I39"/>
    <mergeCell ref="B41:C41"/>
    <mergeCell ref="F41:G41"/>
    <mergeCell ref="B42:C42"/>
    <mergeCell ref="B43:C43"/>
  </mergeCells>
  <phoneticPr fontId="18" type="noConversion"/>
  <pageMargins left="0" right="0" top="0" bottom="0" header="0.31496062992125984" footer="0.31496062992125984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B48" sqref="B48:C48"/>
    </sheetView>
  </sheetViews>
  <sheetFormatPr defaultRowHeight="15" outlineLevelCol="1" x14ac:dyDescent="0.25"/>
  <cols>
    <col min="1" max="1" width="5.28515625" style="1" customWidth="1"/>
    <col min="2" max="2" width="43.140625" style="1" customWidth="1"/>
    <col min="3" max="3" width="13.28515625" style="77" customWidth="1"/>
    <col min="4" max="4" width="13.85546875" style="77" customWidth="1"/>
    <col min="5" max="6" width="13.7109375" style="77" customWidth="1"/>
    <col min="7" max="7" width="13.42578125" style="77" customWidth="1"/>
    <col min="8" max="8" width="10.85546875" style="1" hidden="1" customWidth="1" outlineLevel="1"/>
    <col min="9" max="9" width="13.42578125" style="1" hidden="1" customWidth="1" outlineLevel="1"/>
    <col min="10" max="11" width="9.140625" style="1" hidden="1" customWidth="1" outlineLevel="1"/>
    <col min="12" max="12" width="9.140625" style="1" hidden="1" customWidth="1" outlineLevel="1" collapsed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" customHeight="1" x14ac:dyDescent="0.25">
      <c r="A4" s="2"/>
      <c r="B4" s="2"/>
      <c r="C4" s="121"/>
      <c r="D4" s="121"/>
      <c r="E4" s="121"/>
      <c r="F4" s="121"/>
      <c r="G4" s="121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C7" s="122"/>
      <c r="D7" s="122"/>
      <c r="E7" s="122"/>
      <c r="F7" s="123" t="s">
        <v>56</v>
      </c>
      <c r="G7" s="122"/>
    </row>
    <row r="8" spans="1:11" s="3" customFormat="1" x14ac:dyDescent="0.25">
      <c r="A8" s="3" t="s">
        <v>3</v>
      </c>
      <c r="C8" s="122"/>
      <c r="D8" s="122"/>
      <c r="E8" s="122"/>
      <c r="F8" s="123" t="s">
        <v>151</v>
      </c>
      <c r="G8" s="122"/>
    </row>
    <row r="9" spans="1:11" s="3" customFormat="1" ht="4.5" customHeight="1" x14ac:dyDescent="0.25">
      <c r="C9" s="122"/>
      <c r="D9" s="122"/>
      <c r="E9" s="122"/>
      <c r="F9" s="122"/>
      <c r="G9" s="122"/>
    </row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124">
        <v>102549.71</v>
      </c>
      <c r="E13" s="125"/>
      <c r="F13" s="125"/>
      <c r="G13" s="125"/>
      <c r="H13" s="40"/>
      <c r="I13" s="40"/>
    </row>
    <row r="14" spans="1:11" s="15" customFormat="1" ht="6" customHeight="1" thickBot="1" x14ac:dyDescent="0.3">
      <c r="A14" s="41"/>
      <c r="B14" s="41"/>
      <c r="C14" s="126"/>
      <c r="D14" s="125"/>
      <c r="E14" s="125"/>
      <c r="F14" s="125"/>
      <c r="G14" s="125"/>
      <c r="H14" s="40"/>
      <c r="I14" s="40"/>
    </row>
    <row r="15" spans="1:11" s="15" customFormat="1" ht="15.75" thickBot="1" x14ac:dyDescent="0.3">
      <c r="A15" s="87" t="s">
        <v>214</v>
      </c>
      <c r="B15" s="43"/>
      <c r="C15" s="127"/>
      <c r="D15" s="128"/>
      <c r="E15" s="128"/>
      <c r="F15" s="128"/>
      <c r="G15" s="124">
        <v>34925.519999999997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27"/>
      <c r="D16" s="128"/>
      <c r="E16" s="128"/>
      <c r="F16" s="128"/>
      <c r="G16" s="124">
        <v>156111.71</v>
      </c>
      <c r="H16" s="40"/>
      <c r="I16" s="40"/>
    </row>
    <row r="17" spans="1:9" s="3" customFormat="1" ht="8.25" customHeight="1" x14ac:dyDescent="0.25">
      <c r="C17" s="122"/>
      <c r="D17" s="122"/>
      <c r="E17" s="122"/>
      <c r="F17" s="122"/>
      <c r="G17" s="122"/>
    </row>
    <row r="18" spans="1:9" s="18" customFormat="1" ht="38.25" x14ac:dyDescent="0.25">
      <c r="A18" s="6" t="s">
        <v>11</v>
      </c>
      <c r="B18" s="6" t="s">
        <v>12</v>
      </c>
      <c r="C18" s="129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14.25" x14ac:dyDescent="0.2">
      <c r="A19" s="187" t="s">
        <v>14</v>
      </c>
      <c r="B19" s="36" t="s">
        <v>15</v>
      </c>
      <c r="C19" s="164">
        <f>C20+C21+C22+C23</f>
        <v>8.5500000000000007</v>
      </c>
      <c r="D19" s="188">
        <v>483135.48</v>
      </c>
      <c r="E19" s="188">
        <v>478397.51</v>
      </c>
      <c r="F19" s="188">
        <f>D19</f>
        <v>483135.48</v>
      </c>
      <c r="G19" s="185">
        <f t="shared" ref="G19:G28" si="0">E19-D19</f>
        <v>-4737.9699999999721</v>
      </c>
      <c r="H19" s="189">
        <f>C19</f>
        <v>8.5500000000000007</v>
      </c>
    </row>
    <row r="20" spans="1:9" s="3" customFormat="1" x14ac:dyDescent="0.25">
      <c r="A20" s="8" t="s">
        <v>16</v>
      </c>
      <c r="B20" s="28" t="s">
        <v>17</v>
      </c>
      <c r="C20" s="157">
        <v>3.08</v>
      </c>
      <c r="D20" s="182">
        <f>D19*I20</f>
        <v>174041.78694736841</v>
      </c>
      <c r="E20" s="182">
        <f>E19*I20</f>
        <v>172335.00945029239</v>
      </c>
      <c r="F20" s="182">
        <f>D20</f>
        <v>174041.78694736841</v>
      </c>
      <c r="G20" s="183">
        <f t="shared" si="0"/>
        <v>-1706.777497076022</v>
      </c>
      <c r="H20" s="71">
        <f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28" t="s">
        <v>19</v>
      </c>
      <c r="C21" s="157">
        <v>1.51</v>
      </c>
      <c r="D21" s="182">
        <f>D19*I21</f>
        <v>85325.68126315788</v>
      </c>
      <c r="E21" s="182">
        <f>E19*I21</f>
        <v>84488.916970760227</v>
      </c>
      <c r="F21" s="182">
        <f>D21</f>
        <v>85325.68126315788</v>
      </c>
      <c r="G21" s="183">
        <f t="shared" si="0"/>
        <v>-836.76429239765275</v>
      </c>
      <c r="H21" s="71">
        <f>C21</f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28" t="s">
        <v>21</v>
      </c>
      <c r="C22" s="157">
        <v>1.36</v>
      </c>
      <c r="D22" s="182">
        <f>D19*I22</f>
        <v>76849.620210526307</v>
      </c>
      <c r="E22" s="182">
        <f>E19*I22</f>
        <v>76095.978198830402</v>
      </c>
      <c r="F22" s="182">
        <f>D22</f>
        <v>76849.620210526307</v>
      </c>
      <c r="G22" s="183">
        <f t="shared" si="0"/>
        <v>-753.64201169590524</v>
      </c>
      <c r="H22" s="71">
        <f>C22</f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28" t="s">
        <v>23</v>
      </c>
      <c r="C23" s="157">
        <v>2.6</v>
      </c>
      <c r="D23" s="182">
        <f>D19*I23</f>
        <v>146918.39157894737</v>
      </c>
      <c r="E23" s="182">
        <f>E19*I23</f>
        <v>145477.60538011696</v>
      </c>
      <c r="F23" s="182">
        <f>D23</f>
        <v>146918.39157894737</v>
      </c>
      <c r="G23" s="183">
        <f t="shared" si="0"/>
        <v>-1440.7861988304066</v>
      </c>
      <c r="H23" s="71">
        <f>C23</f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171">
        <v>0</v>
      </c>
      <c r="D24" s="185">
        <v>0</v>
      </c>
      <c r="E24" s="185">
        <v>0</v>
      </c>
      <c r="F24" s="185">
        <v>0</v>
      </c>
      <c r="G24" s="185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171">
        <v>4.5999999999999996</v>
      </c>
      <c r="D25" s="185">
        <v>259931.28</v>
      </c>
      <c r="E25" s="185">
        <v>257319.23</v>
      </c>
      <c r="F25" s="185">
        <f>D25</f>
        <v>259931.28</v>
      </c>
      <c r="G25" s="185">
        <f t="shared" si="0"/>
        <v>-2612.0499999999884</v>
      </c>
    </row>
    <row r="26" spans="1:9" s="186" customFormat="1" ht="14.25" x14ac:dyDescent="0.2">
      <c r="A26" s="137" t="s">
        <v>29</v>
      </c>
      <c r="B26" s="170" t="s">
        <v>248</v>
      </c>
      <c r="C26" s="171">
        <v>36.56</v>
      </c>
      <c r="D26" s="185">
        <v>438</v>
      </c>
      <c r="E26" s="185">
        <v>433.52</v>
      </c>
      <c r="F26" s="185">
        <f t="shared" ref="F26:F32" si="1">D26</f>
        <v>438</v>
      </c>
      <c r="G26" s="185">
        <f t="shared" si="0"/>
        <v>-4.4800000000000182</v>
      </c>
    </row>
    <row r="27" spans="1:9" s="186" customFormat="1" ht="14.25" x14ac:dyDescent="0.2">
      <c r="A27" s="137" t="s">
        <v>31</v>
      </c>
      <c r="B27" s="170" t="s">
        <v>132</v>
      </c>
      <c r="C27" s="171">
        <v>1.65</v>
      </c>
      <c r="D27" s="185">
        <v>93238.56</v>
      </c>
      <c r="E27" s="185">
        <v>94317.64</v>
      </c>
      <c r="F27" s="185">
        <f t="shared" si="1"/>
        <v>93238.56</v>
      </c>
      <c r="G27" s="185">
        <f t="shared" si="0"/>
        <v>1079.0800000000017</v>
      </c>
    </row>
    <row r="28" spans="1:9" s="186" customFormat="1" ht="14.25" x14ac:dyDescent="0.2">
      <c r="A28" s="137" t="s">
        <v>33</v>
      </c>
      <c r="B28" s="36" t="s">
        <v>34</v>
      </c>
      <c r="C28" s="164">
        <v>0</v>
      </c>
      <c r="D28" s="185">
        <v>0</v>
      </c>
      <c r="E28" s="185">
        <v>0</v>
      </c>
      <c r="F28" s="185">
        <f t="shared" si="1"/>
        <v>0</v>
      </c>
      <c r="G28" s="185">
        <f t="shared" si="0"/>
        <v>0</v>
      </c>
    </row>
    <row r="29" spans="1:9" s="186" customFormat="1" ht="14.25" x14ac:dyDescent="0.2">
      <c r="A29" s="137" t="s">
        <v>35</v>
      </c>
      <c r="B29" s="36" t="s">
        <v>36</v>
      </c>
      <c r="C29" s="164"/>
      <c r="D29" s="185">
        <f>SUM(D30:D33)</f>
        <v>2521449.17</v>
      </c>
      <c r="E29" s="185">
        <f>SUM(E30:E33)</f>
        <v>2507210.66</v>
      </c>
      <c r="F29" s="185">
        <f t="shared" si="1"/>
        <v>2521449.17</v>
      </c>
      <c r="G29" s="185">
        <f>SUM(G30:G33)</f>
        <v>-14238.510000000002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183">
        <v>45778.32</v>
      </c>
      <c r="E30" s="183">
        <v>45388.19</v>
      </c>
      <c r="F30" s="183">
        <f t="shared" si="1"/>
        <v>45778.32</v>
      </c>
      <c r="G30" s="183">
        <f>E30-D30</f>
        <v>-390.12999999999738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183">
        <v>699576.06</v>
      </c>
      <c r="E31" s="183">
        <v>702497.9</v>
      </c>
      <c r="F31" s="183">
        <f t="shared" si="1"/>
        <v>699576.06</v>
      </c>
      <c r="G31" s="183">
        <f>E31-D31</f>
        <v>2921.8399999999674</v>
      </c>
    </row>
    <row r="32" spans="1:9" s="97" customFormat="1" x14ac:dyDescent="0.25">
      <c r="A32" s="95" t="s">
        <v>42</v>
      </c>
      <c r="B32" s="28" t="s">
        <v>173</v>
      </c>
      <c r="C32" s="158"/>
      <c r="D32" s="184">
        <v>0</v>
      </c>
      <c r="E32" s="184">
        <v>0</v>
      </c>
      <c r="F32" s="183">
        <f t="shared" si="1"/>
        <v>0</v>
      </c>
      <c r="G32" s="184">
        <f>E32-D32</f>
        <v>0</v>
      </c>
    </row>
    <row r="33" spans="1:9" x14ac:dyDescent="0.25">
      <c r="A33" s="9" t="s">
        <v>41</v>
      </c>
      <c r="B33" s="28" t="s">
        <v>43</v>
      </c>
      <c r="C33" s="152" t="s">
        <v>247</v>
      </c>
      <c r="D33" s="183">
        <v>1776094.79</v>
      </c>
      <c r="E33" s="183">
        <v>1759324.57</v>
      </c>
      <c r="F33" s="183">
        <f>D33</f>
        <v>1776094.79</v>
      </c>
      <c r="G33" s="183">
        <f>E33-D33</f>
        <v>-16770.219999999972</v>
      </c>
    </row>
    <row r="34" spans="1:9" ht="5.25" customHeight="1" thickBot="1" x14ac:dyDescent="0.3">
      <c r="A34" s="49"/>
      <c r="B34" s="49"/>
      <c r="C34" s="131"/>
      <c r="D34" s="132"/>
      <c r="E34" s="132"/>
      <c r="F34" s="132"/>
      <c r="G34" s="132"/>
    </row>
    <row r="35" spans="1:9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123063.64000000013</v>
      </c>
      <c r="E35" s="125"/>
      <c r="F35" s="125"/>
      <c r="G35" s="125"/>
      <c r="H35" s="40"/>
      <c r="I35" s="40"/>
    </row>
    <row r="36" spans="1:9" s="15" customFormat="1" ht="6" customHeight="1" thickBot="1" x14ac:dyDescent="0.3">
      <c r="A36" s="41"/>
      <c r="B36" s="41"/>
      <c r="C36" s="126"/>
      <c r="D36" s="125"/>
      <c r="E36" s="125"/>
      <c r="F36" s="125"/>
      <c r="G36" s="125"/>
      <c r="H36" s="40"/>
      <c r="I36" s="40"/>
    </row>
    <row r="37" spans="1:9" s="15" customFormat="1" ht="15.75" thickBot="1" x14ac:dyDescent="0.3">
      <c r="A37" s="87" t="s">
        <v>242</v>
      </c>
      <c r="B37" s="43"/>
      <c r="C37" s="127"/>
      <c r="D37" s="128"/>
      <c r="E37" s="128"/>
      <c r="F37" s="128"/>
      <c r="G37" s="124">
        <f>G15+E28-F28</f>
        <v>34925.519999999997</v>
      </c>
      <c r="H37" s="40"/>
      <c r="I37" s="40"/>
    </row>
    <row r="38" spans="1:9" s="15" customFormat="1" ht="15.75" thickBot="1" x14ac:dyDescent="0.3">
      <c r="A38" s="138" t="s">
        <v>243</v>
      </c>
      <c r="B38" s="139"/>
      <c r="C38" s="127"/>
      <c r="D38" s="128"/>
      <c r="E38" s="128"/>
      <c r="F38" s="128"/>
      <c r="G38" s="124">
        <f>G16+E27-F27</f>
        <v>157190.78999999998</v>
      </c>
      <c r="H38" s="40"/>
      <c r="I38" s="40"/>
    </row>
    <row r="39" spans="1:9" s="15" customFormat="1" x14ac:dyDescent="0.25">
      <c r="A39" s="140"/>
      <c r="B39" s="41"/>
      <c r="C39" s="126"/>
      <c r="D39" s="125"/>
      <c r="E39" s="125"/>
      <c r="F39" s="125"/>
      <c r="G39" s="125"/>
      <c r="H39" s="40"/>
      <c r="I39" s="40"/>
    </row>
    <row r="40" spans="1:9" ht="28.5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9" ht="6.75" customHeight="1" x14ac:dyDescent="0.25"/>
    <row r="42" spans="1:9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2" t="s">
        <v>46</v>
      </c>
      <c r="G42" s="303"/>
    </row>
    <row r="43" spans="1:9" s="12" customFormat="1" ht="12.75" customHeight="1" x14ac:dyDescent="0.25">
      <c r="A43" s="11" t="s">
        <v>47</v>
      </c>
      <c r="B43" s="308" t="s">
        <v>127</v>
      </c>
      <c r="C43" s="309"/>
      <c r="D43" s="194"/>
      <c r="E43" s="194"/>
      <c r="F43" s="304">
        <f>SUM(F44:G48)</f>
        <v>38774.326399999998</v>
      </c>
      <c r="G43" s="305"/>
    </row>
    <row r="44" spans="1:9" s="12" customFormat="1" ht="12.75" customHeight="1" x14ac:dyDescent="0.25">
      <c r="A44" s="9" t="s">
        <v>16</v>
      </c>
      <c r="B44" s="298" t="s">
        <v>260</v>
      </c>
      <c r="C44" s="299"/>
      <c r="D44" s="120" t="s">
        <v>258</v>
      </c>
      <c r="E44" s="120">
        <v>2</v>
      </c>
      <c r="F44" s="296">
        <v>907.49</v>
      </c>
      <c r="G44" s="297"/>
    </row>
    <row r="45" spans="1:9" s="12" customFormat="1" ht="12.75" customHeight="1" x14ac:dyDescent="0.25">
      <c r="A45" s="9" t="s">
        <v>18</v>
      </c>
      <c r="B45" s="298" t="s">
        <v>259</v>
      </c>
      <c r="C45" s="299"/>
      <c r="D45" s="193" t="s">
        <v>258</v>
      </c>
      <c r="E45" s="193">
        <v>2</v>
      </c>
      <c r="F45" s="296">
        <v>4893.84</v>
      </c>
      <c r="G45" s="297"/>
    </row>
    <row r="46" spans="1:9" s="12" customFormat="1" ht="12.75" customHeight="1" x14ac:dyDescent="0.25">
      <c r="A46" s="9" t="s">
        <v>20</v>
      </c>
      <c r="B46" s="298" t="s">
        <v>261</v>
      </c>
      <c r="C46" s="299"/>
      <c r="D46" s="193" t="s">
        <v>262</v>
      </c>
      <c r="E46" s="193">
        <v>3</v>
      </c>
      <c r="F46" s="296">
        <v>30117.41</v>
      </c>
      <c r="G46" s="297"/>
    </row>
    <row r="47" spans="1:9" s="12" customFormat="1" ht="12.75" customHeight="1" x14ac:dyDescent="0.25">
      <c r="A47" s="9" t="s">
        <v>22</v>
      </c>
      <c r="B47" s="298" t="s">
        <v>541</v>
      </c>
      <c r="C47" s="299"/>
      <c r="D47" s="193" t="s">
        <v>295</v>
      </c>
      <c r="E47" s="193"/>
      <c r="F47" s="296">
        <v>1912.41</v>
      </c>
      <c r="G47" s="297"/>
    </row>
    <row r="48" spans="1:9" s="12" customFormat="1" ht="12.75" customHeight="1" x14ac:dyDescent="0.25">
      <c r="A48" s="9" t="s">
        <v>24</v>
      </c>
      <c r="B48" s="294" t="s">
        <v>533</v>
      </c>
      <c r="C48" s="295"/>
      <c r="D48" s="120"/>
      <c r="E48" s="120"/>
      <c r="F48" s="296">
        <f>E27*1%</f>
        <v>943.17640000000006</v>
      </c>
      <c r="G48" s="297"/>
    </row>
    <row r="49" spans="1:7" s="3" customFormat="1" x14ac:dyDescent="0.25">
      <c r="C49" s="122"/>
      <c r="D49" s="122"/>
      <c r="E49" s="122"/>
      <c r="F49" s="122"/>
      <c r="G49" s="122"/>
    </row>
    <row r="50" spans="1:7" s="3" customFormat="1" x14ac:dyDescent="0.25">
      <c r="A50" s="3" t="s">
        <v>55</v>
      </c>
      <c r="C50" s="122" t="s">
        <v>49</v>
      </c>
      <c r="D50" s="122"/>
      <c r="E50" s="122"/>
      <c r="F50" s="122" t="s">
        <v>102</v>
      </c>
      <c r="G50" s="122"/>
    </row>
    <row r="51" spans="1:7" s="3" customFormat="1" x14ac:dyDescent="0.25">
      <c r="C51" s="122"/>
      <c r="D51" s="122"/>
      <c r="E51" s="122"/>
      <c r="F51" s="123" t="s">
        <v>244</v>
      </c>
      <c r="G51" s="122"/>
    </row>
    <row r="52" spans="1:7" s="3" customFormat="1" x14ac:dyDescent="0.25">
      <c r="A52" s="3" t="s">
        <v>50</v>
      </c>
      <c r="C52" s="122"/>
      <c r="D52" s="122"/>
      <c r="E52" s="122"/>
      <c r="F52" s="122"/>
      <c r="G52" s="122"/>
    </row>
    <row r="53" spans="1:7" s="3" customFormat="1" ht="11.25" customHeight="1" x14ac:dyDescent="0.25">
      <c r="C53" s="133" t="s">
        <v>51</v>
      </c>
      <c r="D53" s="122"/>
      <c r="E53" s="133"/>
      <c r="F53" s="133"/>
      <c r="G53" s="133"/>
    </row>
    <row r="54" spans="1:7" s="3" customFormat="1" x14ac:dyDescent="0.25">
      <c r="C54" s="122"/>
      <c r="D54" s="122"/>
      <c r="E54" s="122"/>
      <c r="F54" s="122"/>
      <c r="G54" s="122"/>
    </row>
    <row r="55" spans="1:7" s="3" customFormat="1" x14ac:dyDescent="0.25">
      <c r="C55" s="122"/>
      <c r="D55" s="122"/>
      <c r="E55" s="122"/>
      <c r="F55" s="122"/>
      <c r="G55" s="122"/>
    </row>
  </sheetData>
  <mergeCells count="24">
    <mergeCell ref="F44:G44"/>
    <mergeCell ref="F42:G42"/>
    <mergeCell ref="A11:I11"/>
    <mergeCell ref="A12:I12"/>
    <mergeCell ref="A40:I40"/>
    <mergeCell ref="F43:G43"/>
    <mergeCell ref="A13:C13"/>
    <mergeCell ref="A35:C35"/>
    <mergeCell ref="B42:C42"/>
    <mergeCell ref="B43:C43"/>
    <mergeCell ref="B44:C44"/>
    <mergeCell ref="A1:I1"/>
    <mergeCell ref="A2:I2"/>
    <mergeCell ref="A5:I5"/>
    <mergeCell ref="A10:I10"/>
    <mergeCell ref="A3:K3"/>
    <mergeCell ref="B48:C48"/>
    <mergeCell ref="F48:G48"/>
    <mergeCell ref="F45:G45"/>
    <mergeCell ref="F46:G46"/>
    <mergeCell ref="B45:C45"/>
    <mergeCell ref="B46:C46"/>
    <mergeCell ref="B47:C47"/>
    <mergeCell ref="F47:G47"/>
  </mergeCells>
  <phoneticPr fontId="18" type="noConversion"/>
  <pageMargins left="0" right="0" top="0" bottom="0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4.7109375" style="1" customWidth="1"/>
    <col min="2" max="2" width="42.28515625" style="1" customWidth="1"/>
    <col min="3" max="4" width="12.85546875" style="1" customWidth="1"/>
    <col min="5" max="5" width="13.140625" style="1" bestFit="1" customWidth="1"/>
    <col min="6" max="6" width="15.570312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2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3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78</v>
      </c>
    </row>
    <row r="8" spans="1:11" s="3" customFormat="1" x14ac:dyDescent="0.25">
      <c r="A8" s="3" t="s">
        <v>3</v>
      </c>
      <c r="F8" s="4" t="s">
        <v>188</v>
      </c>
    </row>
    <row r="9" spans="1:11" s="3" customFormat="1" ht="5.2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325" t="s">
        <v>240</v>
      </c>
      <c r="B13" s="341"/>
      <c r="C13" s="341"/>
      <c r="D13" s="38">
        <v>271882.78000000003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376860.93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239195.11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345476.88</v>
      </c>
      <c r="E19" s="165">
        <v>359464.03</v>
      </c>
      <c r="F19" s="165">
        <f>D19</f>
        <v>345476.88</v>
      </c>
      <c r="G19" s="166">
        <f t="shared" ref="G19:G28" si="0">E19-D19</f>
        <v>13987.150000000023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124452.49010526316</v>
      </c>
      <c r="E20" s="67">
        <f>E19*I20</f>
        <v>129491.13595321638</v>
      </c>
      <c r="F20" s="67">
        <f>D20</f>
        <v>124452.49010526316</v>
      </c>
      <c r="G20" s="68">
        <f t="shared" si="0"/>
        <v>5038.6458479532157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61014.045473684208</v>
      </c>
      <c r="E21" s="67">
        <f>E19*I21</f>
        <v>63484.290678362573</v>
      </c>
      <c r="F21" s="67">
        <f>D21</f>
        <v>61014.045473684208</v>
      </c>
      <c r="G21" s="68">
        <f t="shared" si="0"/>
        <v>2470.2452046783656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54953.047578947364</v>
      </c>
      <c r="E22" s="67">
        <f>E19*I22</f>
        <v>57177.904187134503</v>
      </c>
      <c r="F22" s="67">
        <f>D22</f>
        <v>54953.047578947364</v>
      </c>
      <c r="G22" s="68">
        <f t="shared" si="0"/>
        <v>2224.8566081871395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105057.29684210526</v>
      </c>
      <c r="E23" s="67">
        <f>E19*I23</f>
        <v>109310.69918128655</v>
      </c>
      <c r="F23" s="67">
        <f>D23</f>
        <v>105057.29684210526</v>
      </c>
      <c r="G23" s="68">
        <f t="shared" si="0"/>
        <v>4253.4023391812807</v>
      </c>
      <c r="H23" s="71">
        <f t="shared" si="1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185869.44</v>
      </c>
      <c r="E25" s="166">
        <v>193594.86</v>
      </c>
      <c r="F25" s="166">
        <f>D25</f>
        <v>185869.44</v>
      </c>
      <c r="G25" s="166">
        <f t="shared" si="0"/>
        <v>7725.4199999999837</v>
      </c>
    </row>
    <row r="26" spans="1:9" x14ac:dyDescent="0.25">
      <c r="A26" s="137" t="s">
        <v>29</v>
      </c>
      <c r="B26" s="170" t="s">
        <v>248</v>
      </c>
      <c r="C26" s="201">
        <v>1755.25</v>
      </c>
      <c r="D26" s="166">
        <v>12842.41</v>
      </c>
      <c r="E26" s="166">
        <v>12578.54</v>
      </c>
      <c r="F26" s="166">
        <f>D26</f>
        <v>12842.41</v>
      </c>
      <c r="G26" s="166">
        <f t="shared" si="0"/>
        <v>-263.86999999999898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66672.72</v>
      </c>
      <c r="E27" s="166">
        <v>71107.95</v>
      </c>
      <c r="F27" s="172">
        <f>F42</f>
        <v>7644.9295000000002</v>
      </c>
      <c r="G27" s="166">
        <f t="shared" si="0"/>
        <v>4435.2299999999959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1392.89</v>
      </c>
      <c r="F28" s="172">
        <v>0</v>
      </c>
      <c r="G28" s="166">
        <f t="shared" si="0"/>
        <v>1392.89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1461217.2</v>
      </c>
      <c r="E29" s="166">
        <f>SUM(E30:E33)</f>
        <v>1478557.2600000002</v>
      </c>
      <c r="F29" s="166">
        <f>SUM(F30:F33)</f>
        <v>1461217.2</v>
      </c>
      <c r="G29" s="166">
        <f>SUM(G30:G33)</f>
        <v>17340.060000000158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8635.68</v>
      </c>
      <c r="E30" s="68">
        <v>9230.3799999999992</v>
      </c>
      <c r="F30" s="68">
        <f>D30</f>
        <v>8635.68</v>
      </c>
      <c r="G30" s="68">
        <f>E30-D30</f>
        <v>594.69999999999891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392665.82</v>
      </c>
      <c r="E31" s="68">
        <v>418714.26</v>
      </c>
      <c r="F31" s="68">
        <f>D31</f>
        <v>392665.82</v>
      </c>
      <c r="G31" s="68">
        <f>E31-D31</f>
        <v>26048.440000000002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1059915.7</v>
      </c>
      <c r="E33" s="68">
        <v>1050612.6200000001</v>
      </c>
      <c r="F33" s="68">
        <f>D33</f>
        <v>1059915.7</v>
      </c>
      <c r="G33" s="68">
        <f>E33-D33</f>
        <v>-9303.0799999998417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227265.89999999991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378253.82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302658.13049999997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8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6.75" customHeight="1" x14ac:dyDescent="0.25"/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x14ac:dyDescent="0.25">
      <c r="A42" s="11" t="s">
        <v>47</v>
      </c>
      <c r="B42" s="308" t="s">
        <v>127</v>
      </c>
      <c r="C42" s="309"/>
      <c r="D42" s="176"/>
      <c r="E42" s="176"/>
      <c r="F42" s="316">
        <f>SUM(F43:L45)</f>
        <v>7644.9295000000002</v>
      </c>
      <c r="G42" s="312"/>
      <c r="H42" s="12"/>
      <c r="I42" s="12"/>
    </row>
    <row r="43" spans="1:10" s="7" customFormat="1" x14ac:dyDescent="0.25">
      <c r="A43" s="9" t="s">
        <v>16</v>
      </c>
      <c r="B43" s="298" t="s">
        <v>316</v>
      </c>
      <c r="C43" s="299"/>
      <c r="D43" s="177" t="s">
        <v>295</v>
      </c>
      <c r="E43" s="177">
        <v>600</v>
      </c>
      <c r="F43" s="329">
        <v>5875.2</v>
      </c>
      <c r="G43" s="330"/>
      <c r="H43" s="1"/>
      <c r="I43" s="1"/>
    </row>
    <row r="44" spans="1:10" s="7" customFormat="1" x14ac:dyDescent="0.25">
      <c r="A44" s="9" t="s">
        <v>18</v>
      </c>
      <c r="B44" s="298" t="s">
        <v>543</v>
      </c>
      <c r="C44" s="299"/>
      <c r="D44" s="177"/>
      <c r="E44" s="177"/>
      <c r="F44" s="329">
        <v>1058.6500000000001</v>
      </c>
      <c r="G44" s="330"/>
      <c r="H44" s="1"/>
      <c r="I44" s="1"/>
    </row>
    <row r="45" spans="1:10" s="48" customFormat="1" x14ac:dyDescent="0.25">
      <c r="A45" s="9" t="s">
        <v>20</v>
      </c>
      <c r="B45" s="149" t="s">
        <v>533</v>
      </c>
      <c r="C45" s="150"/>
      <c r="D45" s="177"/>
      <c r="E45" s="177"/>
      <c r="F45" s="315">
        <f>E27*1%</f>
        <v>711.07949999999994</v>
      </c>
      <c r="G45" s="315"/>
      <c r="H45" s="1"/>
      <c r="I45" s="1"/>
    </row>
    <row r="46" spans="1:10" s="48" customFormat="1" ht="12" customHeight="1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0" s="48" customFormat="1" ht="12" customHeight="1" x14ac:dyDescent="0.25">
      <c r="A47" s="3" t="s">
        <v>55</v>
      </c>
      <c r="B47" s="3"/>
      <c r="C47" s="3" t="s">
        <v>49</v>
      </c>
      <c r="D47" s="3"/>
      <c r="E47" s="3"/>
      <c r="F47" s="3" t="s">
        <v>102</v>
      </c>
      <c r="G47" s="3"/>
      <c r="H47" s="3"/>
      <c r="I47" s="3"/>
    </row>
    <row r="48" spans="1:10" s="48" customFormat="1" ht="12" customHeight="1" x14ac:dyDescent="0.25">
      <c r="A48" s="3"/>
      <c r="B48" s="3"/>
      <c r="C48" s="3"/>
      <c r="D48" s="3"/>
      <c r="E48" s="3"/>
      <c r="F48" s="4" t="s">
        <v>265</v>
      </c>
      <c r="G48" s="3"/>
      <c r="H48" s="3"/>
      <c r="I48" s="3"/>
    </row>
    <row r="49" spans="1:7" s="3" customFormat="1" ht="9.75" customHeight="1" x14ac:dyDescent="0.25">
      <c r="A49" s="3" t="s">
        <v>50</v>
      </c>
    </row>
    <row r="50" spans="1:7" s="3" customFormat="1" x14ac:dyDescent="0.25">
      <c r="C50" s="14" t="s">
        <v>51</v>
      </c>
      <c r="E50" s="14"/>
      <c r="F50" s="14"/>
      <c r="G50" s="14"/>
    </row>
    <row r="51" spans="1:7" s="3" customFormat="1" x14ac:dyDescent="0.25"/>
    <row r="52" spans="1:7" s="3" customFormat="1" x14ac:dyDescent="0.25"/>
  </sheetData>
  <mergeCells count="19">
    <mergeCell ref="A11:I11"/>
    <mergeCell ref="A12:I12"/>
    <mergeCell ref="A13:C13"/>
    <mergeCell ref="F43:G43"/>
    <mergeCell ref="F45:G45"/>
    <mergeCell ref="A34:C34"/>
    <mergeCell ref="A39:I39"/>
    <mergeCell ref="B41:C41"/>
    <mergeCell ref="F41:G41"/>
    <mergeCell ref="B42:C42"/>
    <mergeCell ref="F42:G42"/>
    <mergeCell ref="B43:C43"/>
    <mergeCell ref="B44:C44"/>
    <mergeCell ref="F44:G44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4.7109375" style="1" customWidth="1"/>
    <col min="2" max="2" width="45.7109375" style="1" customWidth="1"/>
    <col min="3" max="3" width="12.7109375" style="1" customWidth="1"/>
    <col min="4" max="4" width="13" style="1" customWidth="1"/>
    <col min="5" max="5" width="13.140625" style="1" customWidth="1"/>
    <col min="6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2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.75" customHeight="1" x14ac:dyDescent="0.25"/>
    <row r="7" spans="1:11" s="3" customFormat="1" ht="16.5" customHeight="1" x14ac:dyDescent="0.25">
      <c r="A7" s="3" t="s">
        <v>2</v>
      </c>
      <c r="F7" s="4" t="s">
        <v>79</v>
      </c>
    </row>
    <row r="8" spans="1:11" s="3" customFormat="1" x14ac:dyDescent="0.25">
      <c r="A8" s="3" t="s">
        <v>3</v>
      </c>
      <c r="F8" s="4" t="s">
        <v>80</v>
      </c>
    </row>
    <row r="9" spans="1:11" s="3" customFormat="1" x14ac:dyDescent="0.25"/>
    <row r="10" spans="1:11" s="3" customFormat="1" ht="13.5" customHeigh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ht="10.5" customHeigh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213137.4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16564.72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16565.72</v>
      </c>
      <c r="H16" s="40"/>
      <c r="I16" s="40"/>
    </row>
    <row r="17" spans="1:9" s="3" customFormat="1" ht="8.2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348554.76</v>
      </c>
      <c r="E19" s="165">
        <v>344953.95</v>
      </c>
      <c r="F19" s="165">
        <f>D19</f>
        <v>348554.76</v>
      </c>
      <c r="G19" s="166">
        <f t="shared" ref="G19:G28" si="0">E19-D19</f>
        <v>-3600.8099999999977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125561.24687719299</v>
      </c>
      <c r="E20" s="67">
        <f>E19*I20</f>
        <v>124264.11298245614</v>
      </c>
      <c r="F20" s="67">
        <f>D20</f>
        <v>125561.24687719299</v>
      </c>
      <c r="G20" s="68">
        <f t="shared" si="0"/>
        <v>-1297.1338947368495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61557.624280701748</v>
      </c>
      <c r="E21" s="67">
        <f>E19*I21</f>
        <v>60921.69175438596</v>
      </c>
      <c r="F21" s="67">
        <f>D21</f>
        <v>61557.624280701748</v>
      </c>
      <c r="G21" s="68">
        <f t="shared" si="0"/>
        <v>-635.93252631578798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55442.628491228068</v>
      </c>
      <c r="E22" s="67">
        <f>E19*I22</f>
        <v>54869.868070175435</v>
      </c>
      <c r="F22" s="67">
        <f>D22</f>
        <v>55442.628491228068</v>
      </c>
      <c r="G22" s="68">
        <f t="shared" si="0"/>
        <v>-572.76042105263332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105993.26035087719</v>
      </c>
      <c r="E23" s="67">
        <f>E19*I23</f>
        <v>104898.27719298245</v>
      </c>
      <c r="F23" s="67">
        <f>D23</f>
        <v>105993.26035087719</v>
      </c>
      <c r="G23" s="68">
        <f t="shared" si="0"/>
        <v>-1094.9831578947342</v>
      </c>
      <c r="H23" s="71">
        <f t="shared" si="1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-1500</v>
      </c>
      <c r="E24" s="166">
        <v>1109.1400000000001</v>
      </c>
      <c r="F24" s="166">
        <v>0</v>
      </c>
      <c r="G24" s="166">
        <f>E24-D24</f>
        <v>2609.1400000000003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187525.44</v>
      </c>
      <c r="E25" s="166">
        <v>187546.39</v>
      </c>
      <c r="F25" s="166">
        <f>D25</f>
        <v>187525.44</v>
      </c>
      <c r="G25" s="166">
        <f t="shared" si="0"/>
        <v>20.950000000011642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67266.600000000006</v>
      </c>
      <c r="E27" s="166">
        <v>70417.37</v>
      </c>
      <c r="F27" s="172">
        <f>F42</f>
        <v>88396.923699999999</v>
      </c>
      <c r="G27" s="166">
        <f t="shared" si="0"/>
        <v>3150.7699999999895</v>
      </c>
    </row>
    <row r="28" spans="1:9" s="97" customFormat="1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300.49</v>
      </c>
      <c r="F28" s="172">
        <v>0</v>
      </c>
      <c r="G28" s="166">
        <f t="shared" si="0"/>
        <v>300.49</v>
      </c>
      <c r="H28" s="1"/>
      <c r="I28" s="1"/>
    </row>
    <row r="29" spans="1:9" x14ac:dyDescent="0.25">
      <c r="A29" s="137" t="s">
        <v>35</v>
      </c>
      <c r="B29" s="36" t="s">
        <v>36</v>
      </c>
      <c r="C29" s="201"/>
      <c r="D29" s="166">
        <f>SUM(D30:D33)</f>
        <v>1710381.82</v>
      </c>
      <c r="E29" s="166">
        <f>SUM(E30:E33)</f>
        <v>1705480.66</v>
      </c>
      <c r="F29" s="166">
        <f>SUM(F30:F33)</f>
        <v>1710381.82</v>
      </c>
      <c r="G29" s="166">
        <f>SUM(G30:G33)</f>
        <v>-4901.1600000001599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19458.78</v>
      </c>
      <c r="E30" s="68">
        <v>19182.23</v>
      </c>
      <c r="F30" s="68">
        <f>D30</f>
        <v>19458.78</v>
      </c>
      <c r="G30" s="68">
        <f>E30-D30</f>
        <v>-276.54999999999927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413153.52</v>
      </c>
      <c r="E31" s="68">
        <v>435269.3</v>
      </c>
      <c r="F31" s="68">
        <f>D31</f>
        <v>413153.52</v>
      </c>
      <c r="G31" s="68">
        <f>E31-D31</f>
        <v>22115.77999999997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1277769.52</v>
      </c>
      <c r="E33" s="68">
        <v>1251029.1299999999</v>
      </c>
      <c r="F33" s="68">
        <f>D33</f>
        <v>1277769.52</v>
      </c>
      <c r="G33" s="68">
        <f>E33-D33</f>
        <v>-26740.39000000013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215558.01999999955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16865.210000000003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-1413.8337000000029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1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SUM(F43:L47)</f>
        <v>88396.923699999999</v>
      </c>
      <c r="G42" s="312"/>
      <c r="H42" s="12"/>
      <c r="I42" s="12"/>
    </row>
    <row r="43" spans="1:10" s="12" customFormat="1" ht="12.75" customHeight="1" x14ac:dyDescent="0.25">
      <c r="A43" s="9" t="s">
        <v>16</v>
      </c>
      <c r="B43" s="298" t="s">
        <v>317</v>
      </c>
      <c r="C43" s="299"/>
      <c r="D43" s="177" t="s">
        <v>255</v>
      </c>
      <c r="E43" s="177">
        <v>13.5</v>
      </c>
      <c r="F43" s="329">
        <v>6809.04</v>
      </c>
      <c r="G43" s="330"/>
      <c r="H43" s="1"/>
      <c r="I43" s="1"/>
    </row>
    <row r="44" spans="1:10" s="12" customFormat="1" ht="12.75" customHeight="1" x14ac:dyDescent="0.25">
      <c r="A44" s="9" t="s">
        <v>18</v>
      </c>
      <c r="B44" s="298" t="s">
        <v>318</v>
      </c>
      <c r="C44" s="299"/>
      <c r="D44" s="177" t="s">
        <v>262</v>
      </c>
      <c r="E44" s="177">
        <v>45</v>
      </c>
      <c r="F44" s="329">
        <v>24617.34</v>
      </c>
      <c r="G44" s="330"/>
      <c r="H44" s="1"/>
      <c r="I44" s="1"/>
    </row>
    <row r="45" spans="1:10" s="12" customFormat="1" ht="12.75" customHeight="1" x14ac:dyDescent="0.25">
      <c r="A45" s="9" t="s">
        <v>20</v>
      </c>
      <c r="B45" s="298" t="s">
        <v>319</v>
      </c>
      <c r="C45" s="299"/>
      <c r="D45" s="177" t="s">
        <v>255</v>
      </c>
      <c r="E45" s="177">
        <v>15</v>
      </c>
      <c r="F45" s="329">
        <v>6274.37</v>
      </c>
      <c r="G45" s="330"/>
      <c r="H45" s="1"/>
      <c r="I45" s="1"/>
    </row>
    <row r="46" spans="1:10" s="12" customFormat="1" ht="12.75" customHeight="1" x14ac:dyDescent="0.25">
      <c r="A46" s="9" t="s">
        <v>22</v>
      </c>
      <c r="B46" s="298" t="s">
        <v>552</v>
      </c>
      <c r="C46" s="299"/>
      <c r="D46" s="177"/>
      <c r="E46" s="177"/>
      <c r="F46" s="329">
        <v>49992</v>
      </c>
      <c r="G46" s="330"/>
      <c r="H46" s="1"/>
      <c r="I46" s="1"/>
    </row>
    <row r="47" spans="1:10" ht="12.75" customHeight="1" x14ac:dyDescent="0.25">
      <c r="A47" s="9" t="s">
        <v>24</v>
      </c>
      <c r="B47" s="149" t="s">
        <v>533</v>
      </c>
      <c r="C47" s="150"/>
      <c r="D47" s="177"/>
      <c r="E47" s="177"/>
      <c r="F47" s="315">
        <f>E27*1%</f>
        <v>704.17369999999994</v>
      </c>
      <c r="G47" s="315"/>
    </row>
    <row r="48" spans="1:10" ht="12.75" customHeight="1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ht="12.75" customHeight="1" x14ac:dyDescent="0.25">
      <c r="A49" s="3" t="s">
        <v>55</v>
      </c>
      <c r="B49" s="3"/>
      <c r="C49" s="3" t="s">
        <v>49</v>
      </c>
      <c r="D49" s="3"/>
      <c r="E49" s="3"/>
      <c r="F49" s="3" t="s">
        <v>102</v>
      </c>
      <c r="G49" s="3"/>
      <c r="H49" s="3"/>
      <c r="I49" s="3"/>
    </row>
    <row r="50" spans="1:9" ht="12.75" customHeight="1" x14ac:dyDescent="0.25">
      <c r="A50" s="3"/>
      <c r="B50" s="3"/>
      <c r="C50" s="3"/>
      <c r="D50" s="3"/>
      <c r="E50" s="3"/>
      <c r="F50" s="4" t="s">
        <v>265</v>
      </c>
      <c r="G50" s="3"/>
      <c r="H50" s="3"/>
      <c r="I50" s="3"/>
    </row>
    <row r="51" spans="1:9" ht="12.75" customHeight="1" x14ac:dyDescent="0.25">
      <c r="A51" s="3" t="s">
        <v>50</v>
      </c>
      <c r="B51" s="3"/>
      <c r="C51" s="3"/>
      <c r="D51" s="3"/>
      <c r="E51" s="3"/>
      <c r="F51" s="3"/>
      <c r="G51" s="3"/>
      <c r="H51" s="3"/>
      <c r="I51" s="3"/>
    </row>
    <row r="52" spans="1:9" ht="12.75" customHeight="1" x14ac:dyDescent="0.25">
      <c r="A52" s="3"/>
      <c r="B52" s="3"/>
      <c r="C52" s="14" t="s">
        <v>51</v>
      </c>
      <c r="D52" s="3"/>
      <c r="E52" s="14"/>
      <c r="F52" s="14"/>
      <c r="G52" s="14"/>
      <c r="H52" s="3"/>
      <c r="I52" s="3"/>
    </row>
    <row r="53" spans="1:9" s="3" customFormat="1" x14ac:dyDescent="0.25"/>
    <row r="54" spans="1:9" s="3" customFormat="1" x14ac:dyDescent="0.25"/>
  </sheetData>
  <mergeCells count="23">
    <mergeCell ref="A34:C34"/>
    <mergeCell ref="A39:I39"/>
    <mergeCell ref="B41:C41"/>
    <mergeCell ref="F41:G41"/>
    <mergeCell ref="B42:C42"/>
    <mergeCell ref="F42:G42"/>
    <mergeCell ref="F43:G43"/>
    <mergeCell ref="F47:G47"/>
    <mergeCell ref="F45:G45"/>
    <mergeCell ref="B43:C43"/>
    <mergeCell ref="B44:C44"/>
    <mergeCell ref="B45:C45"/>
    <mergeCell ref="F44:G44"/>
    <mergeCell ref="B46:C46"/>
    <mergeCell ref="F46:G46"/>
    <mergeCell ref="A13:C13"/>
    <mergeCell ref="A12:I12"/>
    <mergeCell ref="A11:I11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4.7109375" style="1" customWidth="1"/>
    <col min="2" max="2" width="41.140625" style="1" customWidth="1"/>
    <col min="3" max="3" width="13" style="1" customWidth="1"/>
    <col min="4" max="4" width="13.5703125" style="1" customWidth="1"/>
    <col min="5" max="5" width="12.85546875" style="1" customWidth="1"/>
    <col min="6" max="6" width="13.85546875" style="1" customWidth="1"/>
    <col min="7" max="7" width="15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5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5.25" customHeight="1" x14ac:dyDescent="0.25"/>
    <row r="7" spans="1:11" s="3" customFormat="1" ht="16.5" customHeight="1" x14ac:dyDescent="0.25">
      <c r="A7" s="3" t="s">
        <v>2</v>
      </c>
      <c r="F7" s="4" t="s">
        <v>81</v>
      </c>
    </row>
    <row r="8" spans="1:11" s="3" customFormat="1" x14ac:dyDescent="0.25">
      <c r="A8" s="3" t="s">
        <v>3</v>
      </c>
      <c r="F8" s="4" t="s">
        <v>82</v>
      </c>
    </row>
    <row r="9" spans="1:11" s="3" customFormat="1" ht="7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62208.2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16645.349999999999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-256854.92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8.9599999999999991</v>
      </c>
      <c r="D19" s="165">
        <v>320419.8</v>
      </c>
      <c r="E19" s="165">
        <v>312017.59999999998</v>
      </c>
      <c r="F19" s="165">
        <f>D19</f>
        <v>320419.8</v>
      </c>
      <c r="G19" s="166">
        <f t="shared" ref="G19:G28" si="0">E19-D19</f>
        <v>-8402.2000000000116</v>
      </c>
      <c r="H19" s="71">
        <f>C19</f>
        <v>8.9599999999999991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110144.30625000001</v>
      </c>
      <c r="E20" s="67">
        <f>E19*I20</f>
        <v>107256.05</v>
      </c>
      <c r="F20" s="67">
        <f>D20</f>
        <v>110144.30625000001</v>
      </c>
      <c r="G20" s="68">
        <f t="shared" si="0"/>
        <v>-2888.2562500000058</v>
      </c>
      <c r="H20" s="71">
        <f t="shared" ref="H20:H23" si="1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52568.873437500006</v>
      </c>
      <c r="E21" s="67">
        <f>E19*I21</f>
        <v>51190.387500000004</v>
      </c>
      <c r="F21" s="67">
        <f>D21</f>
        <v>52568.873437500006</v>
      </c>
      <c r="G21" s="68">
        <f t="shared" si="0"/>
        <v>-1378.4859375000015</v>
      </c>
      <c r="H21" s="71">
        <f t="shared" si="1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64727.660491071438</v>
      </c>
      <c r="E22" s="67">
        <f>E19*I22</f>
        <v>63030.341071428578</v>
      </c>
      <c r="F22" s="67">
        <f>D22</f>
        <v>64727.660491071438</v>
      </c>
      <c r="G22" s="68">
        <f t="shared" si="0"/>
        <v>-1697.3194196428594</v>
      </c>
      <c r="H22" s="71">
        <f t="shared" si="1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92978.95982142858</v>
      </c>
      <c r="E23" s="67">
        <f>E19*I23</f>
        <v>90540.821428571435</v>
      </c>
      <c r="F23" s="67">
        <f>D23</f>
        <v>92978.95982142858</v>
      </c>
      <c r="G23" s="68">
        <f t="shared" si="0"/>
        <v>-2438.1383928571449</v>
      </c>
      <c r="H23" s="71">
        <f t="shared" si="1"/>
        <v>2.6</v>
      </c>
      <c r="I23" s="15">
        <f>H23/H19</f>
        <v>0.29017857142857145</v>
      </c>
    </row>
    <row r="24" spans="1:9" x14ac:dyDescent="0.25">
      <c r="A24" s="137" t="s">
        <v>25</v>
      </c>
      <c r="B24" s="170" t="s">
        <v>320</v>
      </c>
      <c r="C24" s="201">
        <v>3.43</v>
      </c>
      <c r="D24" s="166">
        <v>122661.48</v>
      </c>
      <c r="E24" s="166">
        <v>119490.52</v>
      </c>
      <c r="F24" s="166">
        <v>0</v>
      </c>
      <c r="G24" s="166">
        <f>E24-D24</f>
        <v>-3170.9599999999919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164501.51999999999</v>
      </c>
      <c r="E25" s="166">
        <v>159705.60000000001</v>
      </c>
      <c r="F25" s="166">
        <f>D25</f>
        <v>164501.51999999999</v>
      </c>
      <c r="G25" s="166">
        <f t="shared" si="0"/>
        <v>-4795.9199999999837</v>
      </c>
    </row>
    <row r="26" spans="1:9" x14ac:dyDescent="0.25">
      <c r="A26" s="137" t="s">
        <v>29</v>
      </c>
      <c r="B26" s="170" t="s">
        <v>248</v>
      </c>
      <c r="C26" s="201">
        <v>1755.25</v>
      </c>
      <c r="D26" s="166">
        <v>12403.89</v>
      </c>
      <c r="E26" s="166">
        <v>12070.99</v>
      </c>
      <c r="F26" s="166">
        <f>D26</f>
        <v>12403.89</v>
      </c>
      <c r="G26" s="166">
        <f t="shared" si="0"/>
        <v>-332.89999999999964</v>
      </c>
    </row>
    <row r="27" spans="1:9" x14ac:dyDescent="0.25">
      <c r="A27" s="137" t="s">
        <v>31</v>
      </c>
      <c r="B27" s="170" t="s">
        <v>132</v>
      </c>
      <c r="C27" s="180">
        <v>1.82</v>
      </c>
      <c r="D27" s="166">
        <v>65085.24</v>
      </c>
      <c r="E27" s="166">
        <v>63582.7</v>
      </c>
      <c r="F27" s="172">
        <f>F42</f>
        <v>635.827</v>
      </c>
      <c r="G27" s="166">
        <f t="shared" si="0"/>
        <v>-1502.5400000000009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-18238.12</v>
      </c>
      <c r="E28" s="166">
        <v>6846.33</v>
      </c>
      <c r="F28" s="172">
        <v>0</v>
      </c>
      <c r="G28" s="166">
        <f t="shared" si="0"/>
        <v>25084.449999999997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1549822.09</v>
      </c>
      <c r="E29" s="166">
        <f>SUM(E30:E33)</f>
        <v>1519496.52</v>
      </c>
      <c r="F29" s="166">
        <f>SUM(F30:F33)</f>
        <v>1549822.09</v>
      </c>
      <c r="G29" s="166">
        <f>SUM(G30:G33)</f>
        <v>-30325.570000000014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33313.74</v>
      </c>
      <c r="E30" s="68">
        <v>35368.28</v>
      </c>
      <c r="F30" s="68">
        <f>D30</f>
        <v>33313.74</v>
      </c>
      <c r="G30" s="68">
        <f>E30-D30</f>
        <v>2054.5400000000009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253969.5</v>
      </c>
      <c r="E31" s="68">
        <v>245716.4</v>
      </c>
      <c r="F31" s="68">
        <f>D31</f>
        <v>253969.5</v>
      </c>
      <c r="G31" s="68">
        <f>E31-D31</f>
        <v>-8253.1000000000058</v>
      </c>
    </row>
    <row r="32" spans="1:9" s="97" customFormat="1" x14ac:dyDescent="0.25">
      <c r="A32" s="9" t="s">
        <v>42</v>
      </c>
      <c r="B32" s="9" t="s">
        <v>40</v>
      </c>
      <c r="C32" s="213" t="s">
        <v>504</v>
      </c>
      <c r="D32" s="68">
        <v>513951.56</v>
      </c>
      <c r="E32" s="68">
        <v>507840.79</v>
      </c>
      <c r="F32" s="68">
        <f>D32</f>
        <v>513951.56</v>
      </c>
      <c r="G32" s="68">
        <f>E32-D32</f>
        <v>-6110.7700000000186</v>
      </c>
      <c r="H32" s="1"/>
      <c r="I32" s="1"/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748587.29</v>
      </c>
      <c r="E33" s="68">
        <v>730571.05</v>
      </c>
      <c r="F33" s="68">
        <f>D33</f>
        <v>748587.29</v>
      </c>
      <c r="G33" s="68">
        <f>E33-D33</f>
        <v>-18016.239999999991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85653.839999999851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23491.68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-193908.04700000002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4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SUM(F43:L43)</f>
        <v>635.827</v>
      </c>
      <c r="G42" s="312"/>
      <c r="H42" s="12"/>
      <c r="I42" s="12"/>
    </row>
    <row r="43" spans="1:10" ht="12.75" customHeight="1" x14ac:dyDescent="0.25">
      <c r="A43" s="9" t="s">
        <v>16</v>
      </c>
      <c r="B43" s="149" t="s">
        <v>533</v>
      </c>
      <c r="C43" s="150"/>
      <c r="D43" s="177"/>
      <c r="E43" s="177"/>
      <c r="F43" s="315">
        <f>E27*1%</f>
        <v>635.827</v>
      </c>
      <c r="G43" s="315"/>
    </row>
    <row r="44" spans="1:10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0" ht="12.75" customHeight="1" x14ac:dyDescent="0.25">
      <c r="A45" s="3" t="s">
        <v>55</v>
      </c>
      <c r="B45" s="3"/>
      <c r="C45" s="3" t="s">
        <v>49</v>
      </c>
      <c r="D45" s="3"/>
      <c r="E45" s="3"/>
      <c r="F45" s="3" t="s">
        <v>102</v>
      </c>
      <c r="G45" s="3"/>
      <c r="H45" s="3"/>
      <c r="I45" s="3"/>
    </row>
    <row r="46" spans="1:10" ht="12.75" customHeight="1" x14ac:dyDescent="0.25">
      <c r="A46" s="3"/>
      <c r="B46" s="3"/>
      <c r="C46" s="3"/>
      <c r="D46" s="3"/>
      <c r="E46" s="3"/>
      <c r="F46" s="4" t="s">
        <v>265</v>
      </c>
      <c r="G46" s="3"/>
      <c r="H46" s="3"/>
      <c r="I46" s="3"/>
    </row>
    <row r="47" spans="1:10" ht="12.75" customHeight="1" x14ac:dyDescent="0.25">
      <c r="A47" s="3" t="s">
        <v>50</v>
      </c>
      <c r="B47" s="3"/>
      <c r="C47" s="3"/>
      <c r="D47" s="3"/>
      <c r="E47" s="3"/>
      <c r="F47" s="3"/>
      <c r="G47" s="3"/>
      <c r="H47" s="3"/>
      <c r="I47" s="3"/>
    </row>
    <row r="48" spans="1:10" ht="12.75" customHeight="1" x14ac:dyDescent="0.25">
      <c r="A48" s="3"/>
      <c r="B48" s="3"/>
      <c r="C48" s="14" t="s">
        <v>51</v>
      </c>
      <c r="D48" s="3"/>
      <c r="E48" s="14"/>
      <c r="F48" s="14"/>
      <c r="G48" s="14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s="3" customFormat="1" x14ac:dyDescent="0.25"/>
    <row r="51" spans="1:9" s="3" customFormat="1" ht="13.5" customHeight="1" x14ac:dyDescent="0.25">
      <c r="A51" s="1"/>
      <c r="B51" s="13"/>
      <c r="C51" s="13"/>
      <c r="D51" s="13"/>
      <c r="E51" s="13"/>
      <c r="F51" s="1"/>
      <c r="G51" s="1"/>
    </row>
  </sheetData>
  <mergeCells count="15">
    <mergeCell ref="F43:G43"/>
    <mergeCell ref="A1:I1"/>
    <mergeCell ref="A2:I2"/>
    <mergeCell ref="A5:I5"/>
    <mergeCell ref="A10:I10"/>
    <mergeCell ref="A3:K3"/>
    <mergeCell ref="A11:I11"/>
    <mergeCell ref="A12:I12"/>
    <mergeCell ref="F42:G42"/>
    <mergeCell ref="A13:C13"/>
    <mergeCell ref="A34:C34"/>
    <mergeCell ref="A39:I39"/>
    <mergeCell ref="B41:C41"/>
    <mergeCell ref="F41:G41"/>
    <mergeCell ref="B42:C42"/>
  </mergeCells>
  <phoneticPr fontId="18" type="noConversion"/>
  <pageMargins left="0" right="0" top="0" bottom="0" header="0.31496062992125984" footer="0.31496062992125984"/>
  <pageSetup paperSize="9" scale="96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F44" sqref="F44"/>
    </sheetView>
  </sheetViews>
  <sheetFormatPr defaultRowHeight="15" outlineLevelCol="1" x14ac:dyDescent="0.25"/>
  <cols>
    <col min="1" max="1" width="4.7109375" style="1" customWidth="1"/>
    <col min="2" max="2" width="46.85546875" style="1" customWidth="1"/>
    <col min="3" max="3" width="13" style="1" customWidth="1"/>
    <col min="4" max="4" width="13.42578125" style="1" customWidth="1"/>
    <col min="5" max="5" width="14" style="1" customWidth="1"/>
    <col min="6" max="6" width="12.710937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7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83</v>
      </c>
    </row>
    <row r="8" spans="1:11" s="3" customFormat="1" x14ac:dyDescent="0.25">
      <c r="A8" s="3" t="s">
        <v>3</v>
      </c>
      <c r="F8" s="4" t="s">
        <v>84</v>
      </c>
    </row>
    <row r="9" spans="1:11" s="3" customFormat="1" ht="7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191132.65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13760.64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99271.13</v>
      </c>
      <c r="H16" s="40"/>
      <c r="I16" s="40"/>
    </row>
    <row r="17" spans="1:9" s="3" customFormat="1" ht="8.2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186497.28</v>
      </c>
      <c r="E19" s="165">
        <v>179614.39</v>
      </c>
      <c r="F19" s="165">
        <f>D19</f>
        <v>186497.28</v>
      </c>
      <c r="G19" s="166">
        <f t="shared" ref="G19:G28" si="0">E19-D19</f>
        <v>-6882.8899999999849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67182.645894736837</v>
      </c>
      <c r="E20" s="67">
        <f>E19*I20</f>
        <v>64703.195461988311</v>
      </c>
      <c r="F20" s="67">
        <f>D20</f>
        <v>67182.645894736837</v>
      </c>
      <c r="G20" s="68">
        <f t="shared" si="0"/>
        <v>-2479.4504327485265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32936.946526315784</v>
      </c>
      <c r="E21" s="67">
        <f>E19*I21</f>
        <v>31721.371801169589</v>
      </c>
      <c r="F21" s="67">
        <f>D21</f>
        <v>32936.946526315784</v>
      </c>
      <c r="G21" s="68">
        <f t="shared" si="0"/>
        <v>-1215.5747251461944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29665.06442105263</v>
      </c>
      <c r="E22" s="67">
        <f>E19*I22</f>
        <v>28570.242152046783</v>
      </c>
      <c r="F22" s="67">
        <f>D22</f>
        <v>29665.06442105263</v>
      </c>
      <c r="G22" s="68">
        <f t="shared" si="0"/>
        <v>-1094.8222690058465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56712.623157894734</v>
      </c>
      <c r="E23" s="67">
        <f>E19*I23</f>
        <v>54619.580584795323</v>
      </c>
      <c r="F23" s="67">
        <f>D23</f>
        <v>56712.623157894734</v>
      </c>
      <c r="G23" s="68">
        <f t="shared" si="0"/>
        <v>-2093.0425730994102</v>
      </c>
      <c r="H23" s="71">
        <f t="shared" si="1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v>0</v>
      </c>
      <c r="G24" s="166">
        <f>E24-D24</f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100337.04</v>
      </c>
      <c r="E25" s="166">
        <v>96550.86</v>
      </c>
      <c r="F25" s="166">
        <f>D25</f>
        <v>100337.04</v>
      </c>
      <c r="G25" s="166">
        <f t="shared" si="0"/>
        <v>-3786.179999999993</v>
      </c>
    </row>
    <row r="26" spans="1:9" x14ac:dyDescent="0.25">
      <c r="A26" s="137" t="s">
        <v>29</v>
      </c>
      <c r="B26" s="170" t="s">
        <v>248</v>
      </c>
      <c r="C26" s="201">
        <v>36.56</v>
      </c>
      <c r="D26" s="166">
        <v>438.6</v>
      </c>
      <c r="E26" s="166">
        <v>418.53</v>
      </c>
      <c r="F26" s="166">
        <f>D26</f>
        <v>438.6</v>
      </c>
      <c r="G26" s="166">
        <f t="shared" si="0"/>
        <v>-20.07000000000005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35991.72</v>
      </c>
      <c r="E27" s="166">
        <v>36125.47</v>
      </c>
      <c r="F27" s="172">
        <f>F42</f>
        <v>361.25470000000001</v>
      </c>
      <c r="G27" s="166">
        <f t="shared" si="0"/>
        <v>133.75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1001415.8300000001</v>
      </c>
      <c r="E29" s="166">
        <f>SUM(E30:E33)</f>
        <v>921139.1</v>
      </c>
      <c r="F29" s="166">
        <f>SUM(F30:F33)</f>
        <v>1001415.8300000001</v>
      </c>
      <c r="G29" s="166">
        <f>SUM(G30:G33)</f>
        <v>-80276.730000000069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17248.32</v>
      </c>
      <c r="E30" s="68">
        <v>20310.72</v>
      </c>
      <c r="F30" s="68">
        <f>D30</f>
        <v>17248.32</v>
      </c>
      <c r="G30" s="68">
        <f>E30-D30</f>
        <v>3062.4000000000015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327618.34999999998</v>
      </c>
      <c r="E31" s="68">
        <v>274148.40999999997</v>
      </c>
      <c r="F31" s="68">
        <f>D31</f>
        <v>327618.34999999998</v>
      </c>
      <c r="G31" s="68">
        <f>E31-D31</f>
        <v>-53469.94</v>
      </c>
    </row>
    <row r="32" spans="1:9" s="97" customFormat="1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  <c r="H32" s="1"/>
      <c r="I32" s="1"/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656549.16</v>
      </c>
      <c r="E33" s="68">
        <v>626679.97</v>
      </c>
      <c r="F33" s="68">
        <f>D33</f>
        <v>656549.16</v>
      </c>
      <c r="G33" s="68">
        <f>E33-D33</f>
        <v>-29869.190000000061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281964.7699999999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13760.64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135035.34530000002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2.2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ht="28.5" customHeigh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SUM(F43:L43)</f>
        <v>361.25470000000001</v>
      </c>
      <c r="G42" s="312"/>
      <c r="H42" s="12"/>
      <c r="I42" s="12"/>
    </row>
    <row r="43" spans="1:10" ht="12.75" customHeight="1" x14ac:dyDescent="0.25">
      <c r="A43" s="9" t="s">
        <v>16</v>
      </c>
      <c r="B43" s="149" t="s">
        <v>533</v>
      </c>
      <c r="C43" s="150"/>
      <c r="D43" s="177"/>
      <c r="E43" s="177"/>
      <c r="F43" s="315">
        <f>E27*1%</f>
        <v>361.25470000000001</v>
      </c>
      <c r="G43" s="315"/>
    </row>
    <row r="44" spans="1:10" ht="12.75" customHeight="1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0" s="3" customFormat="1" x14ac:dyDescent="0.25">
      <c r="A45" s="3" t="s">
        <v>55</v>
      </c>
      <c r="C45" s="3" t="s">
        <v>49</v>
      </c>
      <c r="F45" s="3" t="s">
        <v>102</v>
      </c>
    </row>
    <row r="46" spans="1:10" s="3" customFormat="1" x14ac:dyDescent="0.25">
      <c r="F46" s="4" t="s">
        <v>265</v>
      </c>
    </row>
    <row r="47" spans="1:10" s="3" customFormat="1" ht="13.5" customHeight="1" x14ac:dyDescent="0.25">
      <c r="A47" s="3" t="s">
        <v>50</v>
      </c>
    </row>
    <row r="48" spans="1:10" s="3" customFormat="1" x14ac:dyDescent="0.25">
      <c r="C48" s="14" t="s">
        <v>51</v>
      </c>
      <c r="E48" s="14"/>
      <c r="F48" s="14"/>
      <c r="G48" s="14"/>
    </row>
    <row r="49" s="3" customFormat="1" ht="12" customHeight="1" x14ac:dyDescent="0.25"/>
    <row r="50" s="3" customFormat="1" x14ac:dyDescent="0.25"/>
    <row r="51" s="3" customFormat="1" x14ac:dyDescent="0.25"/>
  </sheetData>
  <mergeCells count="15">
    <mergeCell ref="B41:C41"/>
    <mergeCell ref="F41:G41"/>
    <mergeCell ref="B42:C42"/>
    <mergeCell ref="F43:G43"/>
    <mergeCell ref="A12:I12"/>
    <mergeCell ref="F42:G42"/>
    <mergeCell ref="A13:C13"/>
    <mergeCell ref="A34:C34"/>
    <mergeCell ref="A39:I39"/>
    <mergeCell ref="A11:I11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A45" sqref="A45"/>
    </sheetView>
  </sheetViews>
  <sheetFormatPr defaultRowHeight="15" outlineLevelCol="1" x14ac:dyDescent="0.25"/>
  <cols>
    <col min="1" max="1" width="4.7109375" style="1" customWidth="1"/>
    <col min="2" max="2" width="42.85546875" style="1" customWidth="1"/>
    <col min="3" max="4" width="13.5703125" style="1" customWidth="1"/>
    <col min="5" max="5" width="12.140625" style="1" customWidth="1"/>
    <col min="6" max="6" width="12.7109375" style="1" customWidth="1"/>
    <col min="7" max="7" width="13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6.5" customHeight="1" x14ac:dyDescent="0.25">
      <c r="A3" s="293" t="s">
        <v>321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5.25" customHeight="1" x14ac:dyDescent="0.25"/>
    <row r="7" spans="1:11" s="3" customFormat="1" ht="16.5" customHeight="1" x14ac:dyDescent="0.25">
      <c r="A7" s="3" t="s">
        <v>2</v>
      </c>
      <c r="F7" s="4" t="s">
        <v>85</v>
      </c>
    </row>
    <row r="8" spans="1:11" s="3" customFormat="1" x14ac:dyDescent="0.25">
      <c r="A8" s="3" t="s">
        <v>3</v>
      </c>
      <c r="F8" s="4" t="s">
        <v>86</v>
      </c>
    </row>
    <row r="9" spans="1:11" s="3" customFormat="1" ht="6.7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305</v>
      </c>
      <c r="B13" s="288"/>
      <c r="C13" s="288"/>
      <c r="D13" s="38">
        <v>2020.06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5572.86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-39851.94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8.07</v>
      </c>
      <c r="D19" s="165">
        <v>36005.279999999999</v>
      </c>
      <c r="E19" s="165">
        <v>36418.239999999998</v>
      </c>
      <c r="F19" s="165">
        <f>D19</f>
        <v>36005.279999999999</v>
      </c>
      <c r="G19" s="166">
        <f t="shared" ref="G19:G28" si="0">E19-D19</f>
        <v>412.95999999999913</v>
      </c>
      <c r="H19" s="71">
        <f>C19</f>
        <v>8.07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13741.792118959107</v>
      </c>
      <c r="E20" s="67">
        <f>E19*I20</f>
        <v>13899.402627013629</v>
      </c>
      <c r="F20" s="67">
        <f>D20</f>
        <v>13741.792118959107</v>
      </c>
      <c r="G20" s="68">
        <f t="shared" si="0"/>
        <v>157.61050805452214</v>
      </c>
      <c r="H20" s="71">
        <f t="shared" ref="H20:H23" si="1">C20</f>
        <v>3.08</v>
      </c>
      <c r="I20" s="15">
        <f>H20/H19</f>
        <v>0.38166047087980171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6737.0474349442375</v>
      </c>
      <c r="E21" s="67">
        <f>E19*I21</f>
        <v>6814.3175216852533</v>
      </c>
      <c r="F21" s="67">
        <f>D21</f>
        <v>6737.0474349442375</v>
      </c>
      <c r="G21" s="68">
        <f t="shared" si="0"/>
        <v>77.270086741015803</v>
      </c>
      <c r="H21" s="71">
        <f t="shared" si="1"/>
        <v>1.51</v>
      </c>
      <c r="I21" s="15">
        <f>H21/H19</f>
        <v>0.18711276332094176</v>
      </c>
    </row>
    <row r="22" spans="1:9" s="3" customFormat="1" x14ac:dyDescent="0.25">
      <c r="A22" s="8" t="s">
        <v>20</v>
      </c>
      <c r="B22" s="9" t="s">
        <v>21</v>
      </c>
      <c r="C22" s="157">
        <v>0.88</v>
      </c>
      <c r="D22" s="67">
        <f>D19*I22</f>
        <v>3926.2263197026023</v>
      </c>
      <c r="E22" s="67">
        <f>E19*I22</f>
        <v>3971.2578934324656</v>
      </c>
      <c r="F22" s="67">
        <f>D22</f>
        <v>3926.2263197026023</v>
      </c>
      <c r="G22" s="68">
        <f t="shared" si="0"/>
        <v>45.031573729863339</v>
      </c>
      <c r="H22" s="71">
        <f t="shared" si="1"/>
        <v>0.88</v>
      </c>
      <c r="I22" s="15">
        <f>H22/H19</f>
        <v>0.1090458488228005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11600.214126394052</v>
      </c>
      <c r="E23" s="67">
        <f>E19*I23</f>
        <v>11733.261957868648</v>
      </c>
      <c r="F23" s="67">
        <f>D23</f>
        <v>11600.214126394052</v>
      </c>
      <c r="G23" s="68">
        <f t="shared" si="0"/>
        <v>133.04783147459602</v>
      </c>
      <c r="H23" s="71">
        <f t="shared" si="1"/>
        <v>2.6</v>
      </c>
      <c r="I23" s="15">
        <f>H23/H19</f>
        <v>0.32218091697645601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v>0</v>
      </c>
      <c r="G24" s="166">
        <f>E24-D24</f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20523.36</v>
      </c>
      <c r="E25" s="166">
        <v>20790.16</v>
      </c>
      <c r="F25" s="166">
        <f>D25</f>
        <v>20523.36</v>
      </c>
      <c r="G25" s="166">
        <f t="shared" si="0"/>
        <v>266.79999999999927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x14ac:dyDescent="0.25">
      <c r="A27" s="137" t="s">
        <v>31</v>
      </c>
      <c r="B27" s="170" t="s">
        <v>132</v>
      </c>
      <c r="C27" s="180">
        <v>1.48</v>
      </c>
      <c r="D27" s="166">
        <v>6603.12</v>
      </c>
      <c r="E27" s="166">
        <v>6688.96</v>
      </c>
      <c r="F27" s="172">
        <f>F42</f>
        <v>11249.429600000001</v>
      </c>
      <c r="G27" s="166">
        <f t="shared" si="0"/>
        <v>85.840000000000146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27345.8</v>
      </c>
      <c r="E29" s="166">
        <f>SUM(E30:E33)</f>
        <v>27417.980000000003</v>
      </c>
      <c r="F29" s="166">
        <f>SUM(F30:F33)</f>
        <v>27345.8</v>
      </c>
      <c r="G29" s="166">
        <f>SUM(G30:G33)</f>
        <v>72.18000000000302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1621.38</v>
      </c>
      <c r="E30" s="68">
        <v>1642.08</v>
      </c>
      <c r="F30" s="68">
        <f>D30</f>
        <v>1621.38</v>
      </c>
      <c r="G30" s="68">
        <f>E30-D30</f>
        <v>20.699999999999818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25724.42</v>
      </c>
      <c r="E31" s="68">
        <v>25775.9</v>
      </c>
      <c r="F31" s="68">
        <f>D31</f>
        <v>25724.42</v>
      </c>
      <c r="G31" s="68">
        <f>E31-D31</f>
        <v>51.480000000003201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>
        <v>0</v>
      </c>
      <c r="D33" s="68">
        <v>0</v>
      </c>
      <c r="E33" s="68">
        <v>0</v>
      </c>
      <c r="F33" s="68">
        <f>D33</f>
        <v>0</v>
      </c>
      <c r="G33" s="68">
        <f>E33-D33</f>
        <v>0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1182.2799999999988</v>
      </c>
      <c r="E34" s="39"/>
      <c r="F34" s="39"/>
      <c r="G34" s="39"/>
      <c r="H34" s="40"/>
      <c r="I34" s="40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5572.86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-44412.409600000006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4.7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4.5" customHeight="1" x14ac:dyDescent="0.25"/>
    <row r="41" spans="1:10" ht="26.25" customHeight="1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x14ac:dyDescent="0.25">
      <c r="A42" s="11" t="s">
        <v>47</v>
      </c>
      <c r="B42" s="308" t="s">
        <v>127</v>
      </c>
      <c r="C42" s="309"/>
      <c r="D42" s="176"/>
      <c r="E42" s="176"/>
      <c r="F42" s="316">
        <f>SUM(F43:G44)</f>
        <v>11249.429600000001</v>
      </c>
      <c r="G42" s="312"/>
      <c r="H42" s="12"/>
      <c r="I42" s="12"/>
    </row>
    <row r="43" spans="1:10" x14ac:dyDescent="0.25">
      <c r="A43" s="9" t="s">
        <v>16</v>
      </c>
      <c r="B43" s="294" t="s">
        <v>322</v>
      </c>
      <c r="C43" s="295"/>
      <c r="D43" s="215" t="s">
        <v>295</v>
      </c>
      <c r="E43" s="215">
        <v>15</v>
      </c>
      <c r="F43" s="338">
        <v>11182.54</v>
      </c>
      <c r="G43" s="339"/>
      <c r="H43" s="12"/>
      <c r="I43" s="12"/>
    </row>
    <row r="44" spans="1:10" s="7" customFormat="1" x14ac:dyDescent="0.25">
      <c r="A44" s="9" t="s">
        <v>18</v>
      </c>
      <c r="B44" s="149" t="s">
        <v>533</v>
      </c>
      <c r="C44" s="150"/>
      <c r="D44" s="177"/>
      <c r="E44" s="177"/>
      <c r="F44" s="342">
        <f>E27*1%</f>
        <v>66.889600000000002</v>
      </c>
      <c r="G44" s="342"/>
      <c r="H44" s="1"/>
      <c r="I44" s="1"/>
    </row>
    <row r="45" spans="1:10" s="12" customFormat="1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0" s="48" customFormat="1" ht="14.25" customHeight="1" x14ac:dyDescent="0.25">
      <c r="A46" s="3" t="s">
        <v>55</v>
      </c>
      <c r="B46" s="3"/>
      <c r="C46" s="3" t="s">
        <v>49</v>
      </c>
      <c r="D46" s="3"/>
      <c r="E46" s="3"/>
      <c r="F46" s="3" t="s">
        <v>102</v>
      </c>
      <c r="G46" s="3"/>
      <c r="H46" s="3"/>
      <c r="I46" s="3"/>
    </row>
    <row r="47" spans="1:10" s="48" customFormat="1" ht="14.25" customHeight="1" x14ac:dyDescent="0.25">
      <c r="A47" s="3"/>
      <c r="B47" s="3"/>
      <c r="C47" s="3"/>
      <c r="D47" s="3"/>
      <c r="E47" s="3"/>
      <c r="F47" s="4" t="s">
        <v>265</v>
      </c>
      <c r="G47" s="3"/>
      <c r="H47" s="3"/>
      <c r="I47" s="3"/>
    </row>
    <row r="48" spans="1:10" s="48" customFormat="1" ht="14.25" customHeight="1" x14ac:dyDescent="0.25">
      <c r="A48" s="3" t="s">
        <v>50</v>
      </c>
      <c r="B48" s="3"/>
      <c r="C48" s="3"/>
      <c r="D48" s="3"/>
      <c r="E48" s="3"/>
      <c r="F48" s="3"/>
      <c r="G48" s="3"/>
      <c r="H48" s="3"/>
      <c r="I48" s="3"/>
    </row>
    <row r="49" spans="3:7" s="3" customFormat="1" x14ac:dyDescent="0.25">
      <c r="C49" s="14" t="s">
        <v>51</v>
      </c>
      <c r="E49" s="14"/>
      <c r="F49" s="14"/>
      <c r="G49" s="14"/>
    </row>
    <row r="50" spans="3:7" s="3" customFormat="1" x14ac:dyDescent="0.25"/>
  </sheetData>
  <mergeCells count="17">
    <mergeCell ref="A11:I11"/>
    <mergeCell ref="A1:I1"/>
    <mergeCell ref="A2:I2"/>
    <mergeCell ref="A5:I5"/>
    <mergeCell ref="A10:I10"/>
    <mergeCell ref="A3:K3"/>
    <mergeCell ref="A13:C13"/>
    <mergeCell ref="A12:I12"/>
    <mergeCell ref="F44:G44"/>
    <mergeCell ref="A34:C34"/>
    <mergeCell ref="A39:I39"/>
    <mergeCell ref="B41:C41"/>
    <mergeCell ref="F41:G41"/>
    <mergeCell ref="B42:C42"/>
    <mergeCell ref="F42:G42"/>
    <mergeCell ref="B43:C43"/>
    <mergeCell ref="F43:G4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F28" sqref="F28"/>
    </sheetView>
  </sheetViews>
  <sheetFormatPr defaultRowHeight="15" outlineLevelCol="1" x14ac:dyDescent="0.25"/>
  <cols>
    <col min="1" max="1" width="5" style="1" customWidth="1"/>
    <col min="2" max="2" width="47.28515625" style="1" customWidth="1"/>
    <col min="3" max="3" width="13.5703125" style="1" customWidth="1"/>
    <col min="4" max="4" width="13.7109375" style="1" customWidth="1"/>
    <col min="5" max="5" width="13.5703125" style="1" customWidth="1"/>
    <col min="6" max="6" width="14.140625" style="1" customWidth="1"/>
    <col min="7" max="7" width="13.42578125" style="1" customWidth="1"/>
    <col min="8" max="8" width="10.42578125" style="1" hidden="1" customWidth="1" outlineLevel="1"/>
    <col min="9" max="9" width="12.285156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3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5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87</v>
      </c>
    </row>
    <row r="8" spans="1:11" s="3" customFormat="1" x14ac:dyDescent="0.25">
      <c r="A8" s="3" t="s">
        <v>3</v>
      </c>
      <c r="F8" s="4" t="s">
        <v>189</v>
      </c>
    </row>
    <row r="9" spans="1:11" s="3" customFormat="1" ht="3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51792.42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38596.57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-389160.65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330093.92</v>
      </c>
      <c r="E19" s="165">
        <v>344708.51</v>
      </c>
      <c r="F19" s="165">
        <f t="shared" ref="F19:F26" si="0">D19</f>
        <v>330093.92</v>
      </c>
      <c r="G19" s="166">
        <f t="shared" ref="G19:G28" si="1">E19-D19</f>
        <v>14614.590000000026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118911.02615204678</v>
      </c>
      <c r="E20" s="67">
        <f>E19*I20</f>
        <v>124175.69716959064</v>
      </c>
      <c r="F20" s="67">
        <f t="shared" si="0"/>
        <v>118911.02615204678</v>
      </c>
      <c r="G20" s="68">
        <f t="shared" si="1"/>
        <v>5264.6710175438639</v>
      </c>
      <c r="H20" s="71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58297.288795321627</v>
      </c>
      <c r="E21" s="67">
        <f>E19*I21</f>
        <v>60878.345040935666</v>
      </c>
      <c r="F21" s="67">
        <f t="shared" si="0"/>
        <v>58297.288795321627</v>
      </c>
      <c r="G21" s="68">
        <f t="shared" si="1"/>
        <v>2581.0562456140397</v>
      </c>
      <c r="H21" s="71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52506.167391812858</v>
      </c>
      <c r="E22" s="67">
        <f>E19*I22</f>
        <v>54830.827321637422</v>
      </c>
      <c r="F22" s="67">
        <f t="shared" si="0"/>
        <v>52506.167391812858</v>
      </c>
      <c r="G22" s="68">
        <f t="shared" si="1"/>
        <v>2324.6599298245637</v>
      </c>
      <c r="H22" s="71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100379.4376608187</v>
      </c>
      <c r="E23" s="67">
        <f>E19*I23</f>
        <v>104823.64046783626</v>
      </c>
      <c r="F23" s="67">
        <f t="shared" si="0"/>
        <v>100379.4376608187</v>
      </c>
      <c r="G23" s="68">
        <f t="shared" si="1"/>
        <v>4444.2028070175584</v>
      </c>
      <c r="H23" s="71">
        <f t="shared" si="2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2340</v>
      </c>
      <c r="E24" s="166">
        <v>1936.24</v>
      </c>
      <c r="F24" s="166">
        <f t="shared" si="0"/>
        <v>2340</v>
      </c>
      <c r="G24" s="166">
        <f>E24-D24</f>
        <v>-403.76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177593.4</v>
      </c>
      <c r="E25" s="166">
        <v>184823.62</v>
      </c>
      <c r="F25" s="166">
        <f t="shared" si="0"/>
        <v>177593.4</v>
      </c>
      <c r="G25" s="166">
        <f t="shared" si="1"/>
        <v>7230.2200000000012</v>
      </c>
    </row>
    <row r="26" spans="1:9" x14ac:dyDescent="0.25">
      <c r="A26" s="137" t="s">
        <v>29</v>
      </c>
      <c r="B26" s="170" t="s">
        <v>248</v>
      </c>
      <c r="C26" s="201">
        <v>1755.25</v>
      </c>
      <c r="D26" s="166">
        <v>12349.3</v>
      </c>
      <c r="E26" s="166">
        <v>12277.86</v>
      </c>
      <c r="F26" s="166">
        <f t="shared" si="0"/>
        <v>12349.3</v>
      </c>
      <c r="G26" s="166">
        <f t="shared" si="1"/>
        <v>-71.43999999999869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63703.82</v>
      </c>
      <c r="E27" s="166">
        <v>66768.259999999995</v>
      </c>
      <c r="F27" s="172">
        <f>F42</f>
        <v>33210.212599999999</v>
      </c>
      <c r="G27" s="166">
        <f t="shared" si="1"/>
        <v>3064.4399999999951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1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1340370.3</v>
      </c>
      <c r="E29" s="166">
        <f>SUM(E30:E33)</f>
        <v>1337182.82</v>
      </c>
      <c r="F29" s="166">
        <f>SUM(F30:F33)</f>
        <v>1340370.3</v>
      </c>
      <c r="G29" s="166">
        <f>SUM(G30:G33)</f>
        <v>-3187.4799999999595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33520.5</v>
      </c>
      <c r="E30" s="68">
        <v>35135.730000000003</v>
      </c>
      <c r="F30" s="68">
        <f>D30</f>
        <v>33520.5</v>
      </c>
      <c r="G30" s="68">
        <f>E30-D30</f>
        <v>1615.2300000000032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458958.32</v>
      </c>
      <c r="E31" s="68">
        <v>449215.31</v>
      </c>
      <c r="F31" s="68">
        <f>D31</f>
        <v>458958.32</v>
      </c>
      <c r="G31" s="68">
        <f>E31-D31</f>
        <v>-9743.0100000000093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847891.48</v>
      </c>
      <c r="E33" s="68">
        <v>852831.78</v>
      </c>
      <c r="F33" s="68">
        <f>D33</f>
        <v>847891.48</v>
      </c>
      <c r="G33" s="68">
        <f>E33-D33</f>
        <v>4940.3000000000466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30545.84999999986</v>
      </c>
      <c r="E34" s="39"/>
      <c r="F34" s="39"/>
      <c r="G34" s="39"/>
      <c r="H34" s="40"/>
      <c r="I34" s="40"/>
      <c r="J34" s="22"/>
    </row>
    <row r="35" spans="1:10" s="15" customFormat="1" ht="10.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38596.57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-355602.60259999998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5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24.75" customHeight="1" x14ac:dyDescent="0.25"/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SUM(F43:G46)</f>
        <v>33210.212599999999</v>
      </c>
      <c r="G42" s="312"/>
      <c r="H42" s="12"/>
      <c r="I42" s="12"/>
    </row>
    <row r="43" spans="1:10" s="223" customFormat="1" x14ac:dyDescent="0.25">
      <c r="A43" s="224" t="s">
        <v>16</v>
      </c>
      <c r="B43" s="294" t="s">
        <v>323</v>
      </c>
      <c r="C43" s="295"/>
      <c r="D43" s="215" t="s">
        <v>295</v>
      </c>
      <c r="E43" s="215">
        <v>5</v>
      </c>
      <c r="F43" s="338">
        <v>1240.18</v>
      </c>
      <c r="G43" s="339"/>
      <c r="H43" s="222"/>
      <c r="I43" s="222"/>
    </row>
    <row r="44" spans="1:10" s="223" customFormat="1" x14ac:dyDescent="0.25">
      <c r="A44" s="224" t="s">
        <v>18</v>
      </c>
      <c r="B44" s="294" t="s">
        <v>537</v>
      </c>
      <c r="C44" s="295"/>
      <c r="D44" s="215" t="s">
        <v>262</v>
      </c>
      <c r="E44" s="215"/>
      <c r="F44" s="338">
        <v>6648.71</v>
      </c>
      <c r="G44" s="339"/>
      <c r="H44" s="222"/>
      <c r="I44" s="222"/>
    </row>
    <row r="45" spans="1:10" s="223" customFormat="1" x14ac:dyDescent="0.25">
      <c r="A45" s="224" t="s">
        <v>20</v>
      </c>
      <c r="B45" s="294" t="s">
        <v>353</v>
      </c>
      <c r="C45" s="295"/>
      <c r="D45" s="215" t="s">
        <v>295</v>
      </c>
      <c r="E45" s="215"/>
      <c r="F45" s="338">
        <v>24653.64</v>
      </c>
      <c r="G45" s="339"/>
      <c r="H45" s="222"/>
      <c r="I45" s="222"/>
    </row>
    <row r="46" spans="1:10" s="12" customFormat="1" ht="13.5" customHeight="1" x14ac:dyDescent="0.25">
      <c r="A46" s="28" t="s">
        <v>22</v>
      </c>
      <c r="B46" s="149" t="s">
        <v>533</v>
      </c>
      <c r="C46" s="150"/>
      <c r="D46" s="177"/>
      <c r="E46" s="177"/>
      <c r="F46" s="343">
        <f>E27*1%</f>
        <v>667.68259999999998</v>
      </c>
      <c r="G46" s="344"/>
      <c r="H46" s="1"/>
      <c r="I46" s="1"/>
    </row>
    <row r="47" spans="1:10" ht="13.5" customHeight="1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0" ht="13.5" customHeight="1" x14ac:dyDescent="0.25">
      <c r="A48" s="3" t="s">
        <v>55</v>
      </c>
      <c r="B48" s="3"/>
      <c r="C48" s="3" t="s">
        <v>49</v>
      </c>
      <c r="D48" s="3"/>
      <c r="E48" s="3"/>
      <c r="F48" s="3" t="s">
        <v>102</v>
      </c>
      <c r="G48" s="3"/>
      <c r="H48" s="3"/>
      <c r="I48" s="3"/>
    </row>
    <row r="49" spans="1:9" ht="13.5" customHeight="1" x14ac:dyDescent="0.25">
      <c r="A49" s="3"/>
      <c r="B49" s="3"/>
      <c r="C49" s="3"/>
      <c r="D49" s="3"/>
      <c r="E49" s="3"/>
      <c r="F49" s="4" t="s">
        <v>265</v>
      </c>
      <c r="G49" s="3"/>
      <c r="H49" s="3"/>
      <c r="I49" s="3"/>
    </row>
    <row r="50" spans="1:9" ht="13.5" customHeight="1" x14ac:dyDescent="0.25">
      <c r="A50" s="3" t="s">
        <v>50</v>
      </c>
      <c r="B50" s="3"/>
      <c r="C50" s="3"/>
      <c r="D50" s="3"/>
      <c r="E50" s="3"/>
      <c r="F50" s="3"/>
      <c r="G50" s="3"/>
      <c r="H50" s="3"/>
      <c r="I50" s="3"/>
    </row>
    <row r="51" spans="1:9" ht="13.5" customHeight="1" x14ac:dyDescent="0.25">
      <c r="A51" s="3"/>
      <c r="B51" s="3"/>
      <c r="C51" s="14" t="s">
        <v>51</v>
      </c>
      <c r="D51" s="3"/>
      <c r="E51" s="14"/>
      <c r="F51" s="14"/>
      <c r="G51" s="14"/>
      <c r="H51" s="3"/>
      <c r="I51" s="3"/>
    </row>
  </sheetData>
  <mergeCells count="21">
    <mergeCell ref="F46:G46"/>
    <mergeCell ref="A11:I11"/>
    <mergeCell ref="A12:I12"/>
    <mergeCell ref="A13:C13"/>
    <mergeCell ref="F42:G42"/>
    <mergeCell ref="B43:C43"/>
    <mergeCell ref="F43:G43"/>
    <mergeCell ref="A34:C34"/>
    <mergeCell ref="A39:I39"/>
    <mergeCell ref="B41:C41"/>
    <mergeCell ref="F41:G41"/>
    <mergeCell ref="B42:C42"/>
    <mergeCell ref="B44:C44"/>
    <mergeCell ref="F44:G44"/>
    <mergeCell ref="B45:C45"/>
    <mergeCell ref="F45:G45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G36" sqref="G36"/>
    </sheetView>
  </sheetViews>
  <sheetFormatPr defaultRowHeight="15" outlineLevelCol="1" x14ac:dyDescent="0.25"/>
  <cols>
    <col min="1" max="1" width="4.7109375" style="1" customWidth="1"/>
    <col min="2" max="2" width="48.42578125" style="1" customWidth="1"/>
    <col min="3" max="3" width="13.140625" style="1" customWidth="1"/>
    <col min="4" max="4" width="14" style="1" customWidth="1"/>
    <col min="5" max="5" width="13.7109375" style="1" customWidth="1"/>
    <col min="6" max="6" width="12.7109375" style="1" customWidth="1"/>
    <col min="7" max="7" width="13.285156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2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88</v>
      </c>
    </row>
    <row r="8" spans="1:11" s="3" customFormat="1" x14ac:dyDescent="0.25">
      <c r="A8" s="3" t="s">
        <v>3</v>
      </c>
      <c r="F8" s="4" t="s">
        <v>190</v>
      </c>
    </row>
    <row r="9" spans="1:11" s="3" customFormat="1" ht="4.5" customHeight="1" x14ac:dyDescent="0.25"/>
    <row r="10" spans="1:11" s="3" customFormat="1" ht="14.25" customHeigh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ht="14.25" customHeigh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32642.42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21917.31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-93613.36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8.9599999999999991</v>
      </c>
      <c r="D19" s="165">
        <v>300518.28000000003</v>
      </c>
      <c r="E19" s="165">
        <v>306596.05</v>
      </c>
      <c r="F19" s="165">
        <f>D19</f>
        <v>300518.28000000003</v>
      </c>
      <c r="G19" s="166">
        <f t="shared" ref="G19:G28" si="0">E19-D19</f>
        <v>6077.7699999999604</v>
      </c>
      <c r="H19" s="71">
        <f>C19</f>
        <v>8.9599999999999991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103303.15875000003</v>
      </c>
      <c r="E20" s="67">
        <f>E19*I20</f>
        <v>105392.39218750001</v>
      </c>
      <c r="F20" s="67">
        <f>D20</f>
        <v>103303.15875000003</v>
      </c>
      <c r="G20" s="68">
        <f t="shared" si="0"/>
        <v>2089.2334374999773</v>
      </c>
      <c r="H20" s="71">
        <f t="shared" ref="H20:H23" si="1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49303.780312500014</v>
      </c>
      <c r="E21" s="67">
        <f>E19*I21</f>
        <v>50300.914453125006</v>
      </c>
      <c r="F21" s="67">
        <f>D21</f>
        <v>49303.780312500014</v>
      </c>
      <c r="G21" s="68">
        <f t="shared" si="0"/>
        <v>997.13414062499214</v>
      </c>
      <c r="H21" s="71">
        <f t="shared" si="1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60707.375758928589</v>
      </c>
      <c r="E22" s="67">
        <f>E19*I22</f>
        <v>61935.139564732148</v>
      </c>
      <c r="F22" s="67">
        <f>D22</f>
        <v>60707.375758928589</v>
      </c>
      <c r="G22" s="68">
        <f t="shared" si="0"/>
        <v>1227.7638058035591</v>
      </c>
      <c r="H22" s="71">
        <f t="shared" si="1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87203.965178571438</v>
      </c>
      <c r="E23" s="67">
        <f>E19*I23</f>
        <v>88967.603794642855</v>
      </c>
      <c r="F23" s="67">
        <f>D23</f>
        <v>87203.965178571438</v>
      </c>
      <c r="G23" s="68">
        <f t="shared" si="0"/>
        <v>1763.6386160714173</v>
      </c>
      <c r="H23" s="71">
        <f t="shared" si="1"/>
        <v>2.6</v>
      </c>
      <c r="I23" s="15">
        <f>H23/H19</f>
        <v>0.29017857142857145</v>
      </c>
    </row>
    <row r="24" spans="1:9" x14ac:dyDescent="0.25">
      <c r="A24" s="137" t="s">
        <v>25</v>
      </c>
      <c r="B24" s="170" t="s">
        <v>320</v>
      </c>
      <c r="C24" s="201">
        <v>0</v>
      </c>
      <c r="D24" s="166">
        <v>0</v>
      </c>
      <c r="E24" s="166">
        <v>0</v>
      </c>
      <c r="F24" s="166">
        <v>0</v>
      </c>
      <c r="G24" s="166">
        <f>E24-D24</f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154284</v>
      </c>
      <c r="E25" s="166">
        <v>157716.57</v>
      </c>
      <c r="F25" s="166">
        <f>D25</f>
        <v>154284</v>
      </c>
      <c r="G25" s="166">
        <f t="shared" si="0"/>
        <v>3432.570000000007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x14ac:dyDescent="0.25">
      <c r="A27" s="137" t="s">
        <v>31</v>
      </c>
      <c r="B27" s="170" t="s">
        <v>132</v>
      </c>
      <c r="C27" s="180">
        <v>1.82</v>
      </c>
      <c r="D27" s="166">
        <v>61042.68</v>
      </c>
      <c r="E27" s="166">
        <v>62412.06</v>
      </c>
      <c r="F27" s="172">
        <f>F42</f>
        <v>10014.580599999999</v>
      </c>
      <c r="G27" s="166">
        <f t="shared" si="0"/>
        <v>1369.3799999999974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1554650.49</v>
      </c>
      <c r="E29" s="166">
        <f>SUM(E30:E33)</f>
        <v>1566208.4500000002</v>
      </c>
      <c r="F29" s="166">
        <f>SUM(F30:F33)</f>
        <v>1554650.49</v>
      </c>
      <c r="G29" s="166">
        <f>SUM(G30:G33)</f>
        <v>11557.960000000057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21411.54</v>
      </c>
      <c r="E30" s="68">
        <v>21693.72</v>
      </c>
      <c r="F30" s="68">
        <f>D30</f>
        <v>21411.54</v>
      </c>
      <c r="G30" s="68">
        <f>E30-D30</f>
        <v>282.18000000000029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216098.77</v>
      </c>
      <c r="E31" s="68">
        <v>205227.99</v>
      </c>
      <c r="F31" s="68">
        <f>D31</f>
        <v>216098.77</v>
      </c>
      <c r="G31" s="68">
        <f>E31-D31</f>
        <v>-10870.779999999999</v>
      </c>
    </row>
    <row r="32" spans="1:9" s="97" customFormat="1" x14ac:dyDescent="0.25">
      <c r="A32" s="9" t="s">
        <v>42</v>
      </c>
      <c r="B32" s="9" t="s">
        <v>40</v>
      </c>
      <c r="C32" s="213" t="s">
        <v>504</v>
      </c>
      <c r="D32" s="68">
        <v>306795.31</v>
      </c>
      <c r="E32" s="68">
        <v>312178.57</v>
      </c>
      <c r="F32" s="68">
        <f>D32</f>
        <v>306795.31</v>
      </c>
      <c r="G32" s="68">
        <f>E32-D32</f>
        <v>5383.2600000000093</v>
      </c>
      <c r="H32" s="1"/>
      <c r="I32" s="1"/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1010344.87</v>
      </c>
      <c r="E33" s="68">
        <v>1027108.17</v>
      </c>
      <c r="F33" s="68">
        <f>D33</f>
        <v>1010344.87</v>
      </c>
      <c r="G33" s="68">
        <f>E33-D33</f>
        <v>16763.300000000047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10204.739999999758</v>
      </c>
      <c r="E34" s="39"/>
      <c r="F34" s="39"/>
      <c r="G34" s="39"/>
      <c r="H34" s="40"/>
      <c r="I34" s="40"/>
      <c r="J34" s="22"/>
    </row>
    <row r="35" spans="1:10" s="15" customFormat="1" ht="9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21917.31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-41215.880600000004</v>
      </c>
      <c r="H37" s="40"/>
      <c r="I37" s="40"/>
    </row>
    <row r="38" spans="1:10" s="15" customFormat="1" ht="9.75" customHeigh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8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SUM(F43:L45)</f>
        <v>10014.580599999999</v>
      </c>
      <c r="G42" s="312"/>
      <c r="H42" s="12"/>
      <c r="I42" s="12"/>
    </row>
    <row r="43" spans="1:10" s="225" customFormat="1" x14ac:dyDescent="0.25">
      <c r="A43" s="28" t="s">
        <v>16</v>
      </c>
      <c r="B43" s="294" t="s">
        <v>324</v>
      </c>
      <c r="C43" s="295"/>
      <c r="D43" s="215" t="s">
        <v>295</v>
      </c>
      <c r="E43" s="215">
        <v>29</v>
      </c>
      <c r="F43" s="338">
        <v>6869.33</v>
      </c>
      <c r="G43" s="345"/>
      <c r="H43" s="1"/>
      <c r="I43" s="1"/>
    </row>
    <row r="44" spans="1:10" s="225" customFormat="1" x14ac:dyDescent="0.25">
      <c r="A44" s="28" t="s">
        <v>18</v>
      </c>
      <c r="B44" s="294" t="s">
        <v>233</v>
      </c>
      <c r="C44" s="295"/>
      <c r="D44" s="215" t="s">
        <v>262</v>
      </c>
      <c r="E44" s="215">
        <v>2</v>
      </c>
      <c r="F44" s="338">
        <v>2521.13</v>
      </c>
      <c r="G44" s="345"/>
      <c r="H44" s="1"/>
      <c r="I44" s="1"/>
    </row>
    <row r="45" spans="1:10" s="12" customFormat="1" x14ac:dyDescent="0.25">
      <c r="A45" s="28" t="s">
        <v>20</v>
      </c>
      <c r="B45" s="149" t="s">
        <v>533</v>
      </c>
      <c r="C45" s="150"/>
      <c r="D45" s="177"/>
      <c r="E45" s="177"/>
      <c r="F45" s="342">
        <f>E27*1%</f>
        <v>624.12059999999997</v>
      </c>
      <c r="G45" s="342"/>
      <c r="H45" s="1"/>
      <c r="I45" s="1"/>
    </row>
    <row r="46" spans="1:10" ht="12.75" customHeight="1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10" s="48" customFormat="1" ht="12.75" customHeight="1" x14ac:dyDescent="0.25">
      <c r="A47" s="3" t="s">
        <v>55</v>
      </c>
      <c r="B47" s="3"/>
      <c r="C47" s="3" t="s">
        <v>49</v>
      </c>
      <c r="D47" s="3"/>
      <c r="E47" s="3"/>
      <c r="F47" s="3" t="s">
        <v>102</v>
      </c>
      <c r="G47" s="3"/>
      <c r="H47" s="3"/>
      <c r="I47" s="3"/>
    </row>
    <row r="48" spans="1:10" s="48" customFormat="1" ht="12.75" customHeight="1" x14ac:dyDescent="0.25">
      <c r="A48" s="3"/>
      <c r="B48" s="3"/>
      <c r="C48" s="3"/>
      <c r="D48" s="3"/>
      <c r="E48" s="3"/>
      <c r="F48" s="4" t="s">
        <v>265</v>
      </c>
      <c r="G48" s="3"/>
      <c r="H48" s="3"/>
      <c r="I48" s="3"/>
    </row>
    <row r="49" spans="1:9" s="48" customFormat="1" ht="12.75" customHeight="1" x14ac:dyDescent="0.25">
      <c r="A49" s="3" t="s">
        <v>50</v>
      </c>
      <c r="B49" s="3"/>
      <c r="C49" s="3"/>
      <c r="D49" s="3"/>
      <c r="E49" s="3"/>
      <c r="F49" s="3"/>
      <c r="G49" s="3"/>
      <c r="H49" s="3"/>
      <c r="I49" s="3"/>
    </row>
    <row r="50" spans="1:9" s="48" customFormat="1" ht="12.75" customHeight="1" x14ac:dyDescent="0.25">
      <c r="A50" s="3"/>
      <c r="B50" s="3"/>
      <c r="C50" s="14" t="s">
        <v>51</v>
      </c>
      <c r="D50" s="3"/>
      <c r="E50" s="14"/>
      <c r="F50" s="14"/>
      <c r="G50" s="14"/>
      <c r="H50" s="3"/>
      <c r="I50" s="3"/>
    </row>
  </sheetData>
  <mergeCells count="19">
    <mergeCell ref="A1:I1"/>
    <mergeCell ref="A2:I2"/>
    <mergeCell ref="A5:I5"/>
    <mergeCell ref="A10:I10"/>
    <mergeCell ref="A3:K3"/>
    <mergeCell ref="F45:G45"/>
    <mergeCell ref="A11:I11"/>
    <mergeCell ref="A12:I12"/>
    <mergeCell ref="F42:G42"/>
    <mergeCell ref="A13:C13"/>
    <mergeCell ref="A34:C34"/>
    <mergeCell ref="A39:I39"/>
    <mergeCell ref="B41:C41"/>
    <mergeCell ref="F41:G41"/>
    <mergeCell ref="B42:C42"/>
    <mergeCell ref="B43:C43"/>
    <mergeCell ref="B44:C44"/>
    <mergeCell ref="F43:G43"/>
    <mergeCell ref="F44:G44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5.5703125" style="1" customWidth="1"/>
    <col min="2" max="2" width="51" style="1" customWidth="1"/>
    <col min="3" max="3" width="13" style="1" customWidth="1"/>
    <col min="4" max="4" width="12.85546875" style="1" customWidth="1"/>
    <col min="5" max="5" width="12.7109375" style="1" customWidth="1"/>
    <col min="6" max="6" width="14" style="1" customWidth="1"/>
    <col min="7" max="7" width="13.285156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3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7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6" customHeight="1" x14ac:dyDescent="0.25"/>
    <row r="7" spans="1:11" s="3" customFormat="1" ht="16.5" customHeight="1" x14ac:dyDescent="0.25">
      <c r="A7" s="3" t="s">
        <v>2</v>
      </c>
      <c r="F7" s="4" t="s">
        <v>89</v>
      </c>
    </row>
    <row r="8" spans="1:11" s="3" customFormat="1" x14ac:dyDescent="0.25">
      <c r="A8" s="3" t="s">
        <v>3</v>
      </c>
      <c r="F8" s="4" t="s">
        <v>90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74502.62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13864.01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-51536.94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15.75" customHeigh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289446.71999999997</v>
      </c>
      <c r="E19" s="165">
        <v>276225.86</v>
      </c>
      <c r="F19" s="165">
        <f t="shared" ref="F19:F26" si="0">D19</f>
        <v>289446.71999999997</v>
      </c>
      <c r="G19" s="166">
        <f t="shared" ref="G19:G28" si="1">E19-D19</f>
        <v>-13220.859999999986</v>
      </c>
      <c r="H19" s="71">
        <f>C19</f>
        <v>8.5500000000000007</v>
      </c>
      <c r="I19" s="15"/>
    </row>
    <row r="20" spans="1:9" s="3" customFormat="1" ht="15.75" customHeight="1" x14ac:dyDescent="0.25">
      <c r="A20" s="8" t="s">
        <v>16</v>
      </c>
      <c r="B20" s="9" t="s">
        <v>17</v>
      </c>
      <c r="C20" s="157">
        <v>3.08</v>
      </c>
      <c r="D20" s="67">
        <f>D19*I20</f>
        <v>104268.52603508771</v>
      </c>
      <c r="E20" s="67">
        <f>E19*I20</f>
        <v>99505.923836257309</v>
      </c>
      <c r="F20" s="67">
        <f t="shared" si="0"/>
        <v>104268.52603508771</v>
      </c>
      <c r="G20" s="68">
        <f t="shared" si="1"/>
        <v>-4762.6021988303983</v>
      </c>
      <c r="H20" s="71">
        <f t="shared" ref="H20:H23" si="2">C20</f>
        <v>3.08</v>
      </c>
      <c r="I20" s="15">
        <f>H20/H19</f>
        <v>0.36023391812865496</v>
      </c>
    </row>
    <row r="21" spans="1:9" s="3" customFormat="1" ht="15.75" customHeight="1" x14ac:dyDescent="0.25">
      <c r="A21" s="8" t="s">
        <v>18</v>
      </c>
      <c r="B21" s="9" t="s">
        <v>19</v>
      </c>
      <c r="C21" s="157">
        <v>1.51</v>
      </c>
      <c r="D21" s="67">
        <f>D19*I21</f>
        <v>51118.66049122806</v>
      </c>
      <c r="E21" s="67">
        <f>E19*I21</f>
        <v>48783.748374269002</v>
      </c>
      <c r="F21" s="67">
        <f t="shared" si="0"/>
        <v>51118.66049122806</v>
      </c>
      <c r="G21" s="68">
        <f t="shared" si="1"/>
        <v>-2334.912116959058</v>
      </c>
      <c r="H21" s="71">
        <f t="shared" si="2"/>
        <v>1.51</v>
      </c>
      <c r="I21" s="15">
        <f>H21/H19</f>
        <v>0.17660818713450291</v>
      </c>
    </row>
    <row r="22" spans="1:9" s="3" customFormat="1" ht="15.75" customHeight="1" x14ac:dyDescent="0.25">
      <c r="A22" s="8" t="s">
        <v>20</v>
      </c>
      <c r="B22" s="9" t="s">
        <v>21</v>
      </c>
      <c r="C22" s="157">
        <v>1.36</v>
      </c>
      <c r="D22" s="67">
        <f>D19*I22</f>
        <v>46040.647859649114</v>
      </c>
      <c r="E22" s="67">
        <f>E19*I22</f>
        <v>43937.680654970754</v>
      </c>
      <c r="F22" s="67">
        <f t="shared" si="0"/>
        <v>46040.647859649114</v>
      </c>
      <c r="G22" s="68">
        <f t="shared" si="1"/>
        <v>-2102.9672046783598</v>
      </c>
      <c r="H22" s="71">
        <f t="shared" si="2"/>
        <v>1.36</v>
      </c>
      <c r="I22" s="15">
        <f>H22/H19</f>
        <v>0.1590643274853801</v>
      </c>
    </row>
    <row r="23" spans="1:9" s="3" customFormat="1" ht="15.75" customHeight="1" x14ac:dyDescent="0.25">
      <c r="A23" s="8" t="s">
        <v>22</v>
      </c>
      <c r="B23" s="9" t="s">
        <v>23</v>
      </c>
      <c r="C23" s="152">
        <v>2.6</v>
      </c>
      <c r="D23" s="67">
        <f>D19*I23</f>
        <v>88018.885614035069</v>
      </c>
      <c r="E23" s="67">
        <f>E19*I23</f>
        <v>83998.507134502914</v>
      </c>
      <c r="F23" s="67">
        <f t="shared" si="0"/>
        <v>88018.885614035069</v>
      </c>
      <c r="G23" s="68">
        <f t="shared" si="1"/>
        <v>-4020.3784795321553</v>
      </c>
      <c r="H23" s="71">
        <f t="shared" si="2"/>
        <v>2.6</v>
      </c>
      <c r="I23" s="15">
        <f>H23/H19</f>
        <v>0.30409356725146197</v>
      </c>
    </row>
    <row r="24" spans="1:9" ht="15.75" customHeight="1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9" ht="15.75" customHeight="1" x14ac:dyDescent="0.25">
      <c r="A25" s="137" t="s">
        <v>27</v>
      </c>
      <c r="B25" s="170" t="s">
        <v>28</v>
      </c>
      <c r="C25" s="201">
        <v>4.5999999999999996</v>
      </c>
      <c r="D25" s="166">
        <v>155724.72</v>
      </c>
      <c r="E25" s="166">
        <v>148880.17000000001</v>
      </c>
      <c r="F25" s="166">
        <f t="shared" si="0"/>
        <v>155724.72</v>
      </c>
      <c r="G25" s="166">
        <f t="shared" si="1"/>
        <v>-6844.5499999999884</v>
      </c>
    </row>
    <row r="26" spans="1:9" ht="15.75" customHeight="1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</row>
    <row r="27" spans="1:9" ht="15.75" customHeight="1" x14ac:dyDescent="0.25">
      <c r="A27" s="137" t="s">
        <v>31</v>
      </c>
      <c r="B27" s="170" t="s">
        <v>132</v>
      </c>
      <c r="C27" s="180">
        <v>1.65</v>
      </c>
      <c r="D27" s="166">
        <v>55859.64</v>
      </c>
      <c r="E27" s="166">
        <v>53376.73</v>
      </c>
      <c r="F27" s="172">
        <f>F42</f>
        <v>200780.5773</v>
      </c>
      <c r="G27" s="166">
        <f t="shared" si="1"/>
        <v>-2482.9099999999962</v>
      </c>
    </row>
    <row r="28" spans="1:9" ht="15.75" customHeight="1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5080.8500000000004</v>
      </c>
      <c r="F28" s="172">
        <v>0</v>
      </c>
      <c r="G28" s="166">
        <f t="shared" si="1"/>
        <v>5080.8500000000004</v>
      </c>
    </row>
    <row r="29" spans="1:9" ht="15.75" customHeight="1" x14ac:dyDescent="0.25">
      <c r="A29" s="137" t="s">
        <v>35</v>
      </c>
      <c r="B29" s="36" t="s">
        <v>36</v>
      </c>
      <c r="C29" s="201"/>
      <c r="D29" s="166">
        <f>SUM(D30:D33)</f>
        <v>1374935.44</v>
      </c>
      <c r="E29" s="166">
        <f>SUM(E30:E33)</f>
        <v>1320798.76</v>
      </c>
      <c r="F29" s="166">
        <f>SUM(F30:F33)</f>
        <v>1374935.44</v>
      </c>
      <c r="G29" s="166">
        <f>SUM(G30:G33)</f>
        <v>-54136.680000000088</v>
      </c>
    </row>
    <row r="30" spans="1:9" ht="15.75" customHeight="1" x14ac:dyDescent="0.25">
      <c r="A30" s="9" t="s">
        <v>37</v>
      </c>
      <c r="B30" s="9" t="s">
        <v>263</v>
      </c>
      <c r="C30" s="152" t="s">
        <v>245</v>
      </c>
      <c r="D30" s="68">
        <v>43150.41</v>
      </c>
      <c r="E30" s="68">
        <v>41595.379999999997</v>
      </c>
      <c r="F30" s="68">
        <f>D30</f>
        <v>43150.41</v>
      </c>
      <c r="G30" s="68">
        <f>E30-D30</f>
        <v>-1555.0300000000061</v>
      </c>
    </row>
    <row r="31" spans="1:9" ht="15.75" customHeight="1" x14ac:dyDescent="0.25">
      <c r="A31" s="9" t="s">
        <v>39</v>
      </c>
      <c r="B31" s="9" t="s">
        <v>171</v>
      </c>
      <c r="C31" s="152" t="s">
        <v>246</v>
      </c>
      <c r="D31" s="68">
        <v>427559.85</v>
      </c>
      <c r="E31" s="68">
        <v>420961.18</v>
      </c>
      <c r="F31" s="68">
        <f>D31</f>
        <v>427559.85</v>
      </c>
      <c r="G31" s="68">
        <f>E31-D31</f>
        <v>-6598.6699999999837</v>
      </c>
    </row>
    <row r="32" spans="1:9" s="97" customFormat="1" ht="15.75" customHeight="1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  <c r="H32" s="1"/>
      <c r="I32" s="1"/>
    </row>
    <row r="33" spans="1:10" ht="15.75" customHeight="1" thickBot="1" x14ac:dyDescent="0.3">
      <c r="A33" s="9" t="s">
        <v>41</v>
      </c>
      <c r="B33" s="9" t="s">
        <v>43</v>
      </c>
      <c r="C33" s="152" t="s">
        <v>247</v>
      </c>
      <c r="D33" s="68">
        <v>904225.18</v>
      </c>
      <c r="E33" s="68">
        <v>858242.2</v>
      </c>
      <c r="F33" s="68">
        <f>D33</f>
        <v>904225.18</v>
      </c>
      <c r="G33" s="68">
        <f>E33-D33</f>
        <v>-45982.980000000098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146106.76999999979</v>
      </c>
      <c r="E34" s="39"/>
      <c r="F34" s="39"/>
      <c r="G34" s="39"/>
      <c r="H34" s="40"/>
      <c r="I34" s="40"/>
      <c r="J34" s="22"/>
    </row>
    <row r="35" spans="1:10" s="15" customFormat="1" ht="8.2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18944.86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-198940.7873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7.7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SUM(F43:L53)</f>
        <v>200780.5773</v>
      </c>
      <c r="G42" s="312"/>
      <c r="H42" s="12"/>
      <c r="I42" s="12"/>
    </row>
    <row r="43" spans="1:10" s="12" customFormat="1" ht="13.5" customHeight="1" x14ac:dyDescent="0.25">
      <c r="A43" s="9" t="s">
        <v>16</v>
      </c>
      <c r="B43" s="298" t="s">
        <v>325</v>
      </c>
      <c r="C43" s="299"/>
      <c r="D43" s="177" t="s">
        <v>295</v>
      </c>
      <c r="E43" s="177">
        <v>600</v>
      </c>
      <c r="F43" s="329">
        <v>10342.799999999999</v>
      </c>
      <c r="G43" s="330"/>
      <c r="H43" s="1"/>
      <c r="I43" s="1"/>
    </row>
    <row r="44" spans="1:10" ht="13.5" customHeight="1" x14ac:dyDescent="0.25">
      <c r="A44" s="9" t="s">
        <v>18</v>
      </c>
      <c r="B44" s="298" t="s">
        <v>172</v>
      </c>
      <c r="C44" s="299"/>
      <c r="D44" s="177" t="s">
        <v>295</v>
      </c>
      <c r="E44" s="177">
        <v>49</v>
      </c>
      <c r="F44" s="315">
        <v>27386.87</v>
      </c>
      <c r="G44" s="315"/>
    </row>
    <row r="45" spans="1:10" ht="13.5" customHeight="1" x14ac:dyDescent="0.25">
      <c r="A45" s="9" t="s">
        <v>20</v>
      </c>
      <c r="B45" s="298" t="s">
        <v>326</v>
      </c>
      <c r="C45" s="299"/>
      <c r="D45" s="177" t="s">
        <v>255</v>
      </c>
      <c r="E45" s="177">
        <v>7.2</v>
      </c>
      <c r="F45" s="329">
        <v>13806.94</v>
      </c>
      <c r="G45" s="330"/>
    </row>
    <row r="46" spans="1:10" ht="13.5" customHeight="1" x14ac:dyDescent="0.25">
      <c r="A46" s="9" t="s">
        <v>22</v>
      </c>
      <c r="B46" s="298" t="s">
        <v>327</v>
      </c>
      <c r="C46" s="299"/>
      <c r="D46" s="177" t="s">
        <v>262</v>
      </c>
      <c r="E46" s="177">
        <v>1</v>
      </c>
      <c r="F46" s="329">
        <v>695.14</v>
      </c>
      <c r="G46" s="330"/>
    </row>
    <row r="47" spans="1:10" ht="13.5" customHeight="1" x14ac:dyDescent="0.25">
      <c r="A47" s="9" t="s">
        <v>24</v>
      </c>
      <c r="B47" s="298" t="s">
        <v>525</v>
      </c>
      <c r="C47" s="299"/>
      <c r="D47" s="177"/>
      <c r="E47" s="177"/>
      <c r="F47" s="329">
        <v>14000</v>
      </c>
      <c r="G47" s="330"/>
    </row>
    <row r="48" spans="1:10" ht="13.5" customHeight="1" x14ac:dyDescent="0.25">
      <c r="A48" s="9" t="s">
        <v>117</v>
      </c>
      <c r="B48" s="298" t="s">
        <v>197</v>
      </c>
      <c r="C48" s="299"/>
      <c r="D48" s="177"/>
      <c r="E48" s="177"/>
      <c r="F48" s="329">
        <v>59868.86</v>
      </c>
      <c r="G48" s="330"/>
    </row>
    <row r="49" spans="1:9" ht="13.5" customHeight="1" x14ac:dyDescent="0.25">
      <c r="A49" s="9" t="s">
        <v>118</v>
      </c>
      <c r="B49" s="298" t="s">
        <v>149</v>
      </c>
      <c r="C49" s="299"/>
      <c r="D49" s="177" t="s">
        <v>295</v>
      </c>
      <c r="E49" s="177">
        <v>20</v>
      </c>
      <c r="F49" s="329">
        <v>2776.31</v>
      </c>
      <c r="G49" s="330"/>
    </row>
    <row r="50" spans="1:9" ht="13.5" customHeight="1" x14ac:dyDescent="0.25">
      <c r="A50" s="9" t="s">
        <v>133</v>
      </c>
      <c r="B50" s="298" t="s">
        <v>328</v>
      </c>
      <c r="C50" s="299"/>
      <c r="D50" s="177" t="s">
        <v>329</v>
      </c>
      <c r="E50" s="177">
        <v>5</v>
      </c>
      <c r="F50" s="329">
        <v>66354.289999999994</v>
      </c>
      <c r="G50" s="330"/>
    </row>
    <row r="51" spans="1:9" ht="13.5" customHeight="1" x14ac:dyDescent="0.25">
      <c r="A51" s="9" t="s">
        <v>134</v>
      </c>
      <c r="B51" s="298" t="s">
        <v>539</v>
      </c>
      <c r="C51" s="299"/>
      <c r="D51" s="177" t="s">
        <v>295</v>
      </c>
      <c r="E51" s="177"/>
      <c r="F51" s="329">
        <v>1583.1</v>
      </c>
      <c r="G51" s="330"/>
    </row>
    <row r="52" spans="1:9" ht="13.5" customHeight="1" x14ac:dyDescent="0.25">
      <c r="A52" s="9" t="s">
        <v>135</v>
      </c>
      <c r="B52" s="298" t="s">
        <v>341</v>
      </c>
      <c r="C52" s="299"/>
      <c r="D52" s="177" t="s">
        <v>295</v>
      </c>
      <c r="E52" s="177"/>
      <c r="F52" s="329">
        <v>3432.5</v>
      </c>
      <c r="G52" s="330"/>
    </row>
    <row r="53" spans="1:9" x14ac:dyDescent="0.25">
      <c r="A53" s="9" t="s">
        <v>174</v>
      </c>
      <c r="B53" s="149" t="s">
        <v>533</v>
      </c>
      <c r="C53" s="150"/>
      <c r="D53" s="177"/>
      <c r="E53" s="177"/>
      <c r="F53" s="315">
        <f>E27*1%</f>
        <v>533.76730000000009</v>
      </c>
      <c r="G53" s="315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 x14ac:dyDescent="0.25">
      <c r="A55" s="3" t="s">
        <v>55</v>
      </c>
      <c r="B55" s="3"/>
      <c r="C55" s="3" t="s">
        <v>49</v>
      </c>
      <c r="D55" s="3"/>
      <c r="E55" s="3"/>
      <c r="F55" s="3" t="s">
        <v>102</v>
      </c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4" t="s">
        <v>265</v>
      </c>
      <c r="G56" s="3"/>
      <c r="H56" s="3"/>
      <c r="I56" s="3"/>
    </row>
    <row r="57" spans="1:9" s="3" customFormat="1" x14ac:dyDescent="0.25">
      <c r="A57" s="3" t="s">
        <v>50</v>
      </c>
    </row>
    <row r="58" spans="1:9" s="3" customFormat="1" ht="13.5" customHeight="1" x14ac:dyDescent="0.25">
      <c r="C58" s="14" t="s">
        <v>51</v>
      </c>
      <c r="E58" s="14"/>
      <c r="F58" s="14"/>
      <c r="G58" s="14"/>
    </row>
    <row r="59" spans="1:9" s="3" customFormat="1" x14ac:dyDescent="0.25"/>
  </sheetData>
  <mergeCells count="35">
    <mergeCell ref="F48:G48"/>
    <mergeCell ref="F49:G49"/>
    <mergeCell ref="F53:G53"/>
    <mergeCell ref="B47:C47"/>
    <mergeCell ref="F47:G47"/>
    <mergeCell ref="B48:C48"/>
    <mergeCell ref="B49:C49"/>
    <mergeCell ref="B50:C50"/>
    <mergeCell ref="F50:G50"/>
    <mergeCell ref="B51:C51"/>
    <mergeCell ref="F51:G51"/>
    <mergeCell ref="B52:C52"/>
    <mergeCell ref="F52:G52"/>
    <mergeCell ref="F45:G45"/>
    <mergeCell ref="F46:G46"/>
    <mergeCell ref="B41:C41"/>
    <mergeCell ref="F41:G41"/>
    <mergeCell ref="B42:C42"/>
    <mergeCell ref="B43:C43"/>
    <mergeCell ref="B44:C44"/>
    <mergeCell ref="B45:C45"/>
    <mergeCell ref="B46:C46"/>
    <mergeCell ref="A13:C13"/>
    <mergeCell ref="F44:G44"/>
    <mergeCell ref="F42:G42"/>
    <mergeCell ref="F43:G43"/>
    <mergeCell ref="A34:C34"/>
    <mergeCell ref="A39:I39"/>
    <mergeCell ref="A12:I12"/>
    <mergeCell ref="A1:I1"/>
    <mergeCell ref="A2:I2"/>
    <mergeCell ref="A5:I5"/>
    <mergeCell ref="A10:I10"/>
    <mergeCell ref="A3:K3"/>
    <mergeCell ref="A11:I11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workbookViewId="0">
      <selection activeCell="F46" sqref="F46"/>
    </sheetView>
  </sheetViews>
  <sheetFormatPr defaultRowHeight="15" outlineLevelCol="1" x14ac:dyDescent="0.25"/>
  <cols>
    <col min="1" max="1" width="4.7109375" style="1" customWidth="1"/>
    <col min="2" max="2" width="48.140625" style="1" customWidth="1"/>
    <col min="3" max="3" width="13" style="1" customWidth="1"/>
    <col min="4" max="4" width="12.7109375" style="1" customWidth="1"/>
    <col min="5" max="5" width="14.140625" style="1" customWidth="1"/>
    <col min="6" max="6" width="13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7.5" customHeight="1" x14ac:dyDescent="0.25"/>
    <row r="7" spans="1:11" s="3" customFormat="1" ht="16.5" customHeight="1" x14ac:dyDescent="0.25">
      <c r="A7" s="3" t="s">
        <v>2</v>
      </c>
      <c r="F7" s="4" t="s">
        <v>138</v>
      </c>
    </row>
    <row r="8" spans="1:11" s="3" customFormat="1" x14ac:dyDescent="0.25">
      <c r="A8" s="3" t="s">
        <v>3</v>
      </c>
      <c r="F8" s="4" t="s">
        <v>91</v>
      </c>
    </row>
    <row r="9" spans="1:11" s="3" customFormat="1" ht="6.7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14995.45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17055.13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66432.59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8.9599999999999991</v>
      </c>
      <c r="D19" s="165">
        <v>149714.53</v>
      </c>
      <c r="E19" s="165">
        <v>137137.04999999999</v>
      </c>
      <c r="F19" s="165">
        <f>D19</f>
        <v>149714.53</v>
      </c>
      <c r="G19" s="166">
        <f t="shared" ref="G19:G28" si="0">E19-D19</f>
        <v>-12577.48000000001</v>
      </c>
      <c r="H19" s="162">
        <f>C19</f>
        <v>8.9599999999999991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51464.36968750001</v>
      </c>
      <c r="E20" s="67">
        <f>E19*I20</f>
        <v>47140.860937500001</v>
      </c>
      <c r="F20" s="67">
        <f>D20</f>
        <v>51464.36968750001</v>
      </c>
      <c r="G20" s="68">
        <f t="shared" si="0"/>
        <v>-4323.5087500000081</v>
      </c>
      <c r="H20" s="162">
        <f t="shared" ref="H20:H23" si="1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24562.540078125003</v>
      </c>
      <c r="E21" s="67">
        <f>E19*I21</f>
        <v>22499.047265625002</v>
      </c>
      <c r="F21" s="67">
        <f>D21</f>
        <v>24562.540078125003</v>
      </c>
      <c r="G21" s="68">
        <f t="shared" si="0"/>
        <v>-2063.4928125000006</v>
      </c>
      <c r="H21" s="162">
        <f t="shared" si="1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30243.671796875005</v>
      </c>
      <c r="E22" s="67">
        <f>E19*I22</f>
        <v>27702.90853794643</v>
      </c>
      <c r="F22" s="67">
        <f>D22</f>
        <v>30243.671796875005</v>
      </c>
      <c r="G22" s="68">
        <f t="shared" si="0"/>
        <v>-2540.7632589285749</v>
      </c>
      <c r="H22" s="162">
        <f t="shared" si="1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43443.948437500003</v>
      </c>
      <c r="E23" s="67">
        <f>E19*I23</f>
        <v>39794.233258928572</v>
      </c>
      <c r="F23" s="67">
        <f>D23</f>
        <v>43443.948437500003</v>
      </c>
      <c r="G23" s="68">
        <f t="shared" si="0"/>
        <v>-3649.7151785714304</v>
      </c>
      <c r="H23" s="162">
        <f t="shared" si="1"/>
        <v>2.6</v>
      </c>
      <c r="I23" s="15">
        <f>H23/H19</f>
        <v>0.29017857142857145</v>
      </c>
    </row>
    <row r="24" spans="1:9" x14ac:dyDescent="0.25">
      <c r="A24" s="137" t="s">
        <v>25</v>
      </c>
      <c r="B24" s="170" t="s">
        <v>320</v>
      </c>
      <c r="C24" s="201">
        <v>0</v>
      </c>
      <c r="D24" s="166">
        <v>0</v>
      </c>
      <c r="E24" s="166">
        <v>0</v>
      </c>
      <c r="F24" s="166">
        <v>0</v>
      </c>
      <c r="G24" s="166">
        <f>E24-D24</f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76862.320000000007</v>
      </c>
      <c r="E25" s="166">
        <v>75913.149999999994</v>
      </c>
      <c r="F25" s="166">
        <f>D25</f>
        <v>76862.320000000007</v>
      </c>
      <c r="G25" s="166">
        <f t="shared" si="0"/>
        <v>-949.17000000001281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x14ac:dyDescent="0.25">
      <c r="A27" s="137" t="s">
        <v>31</v>
      </c>
      <c r="B27" s="170" t="s">
        <v>132</v>
      </c>
      <c r="C27" s="180">
        <v>1.82</v>
      </c>
      <c r="D27" s="166">
        <v>30410.69</v>
      </c>
      <c r="E27" s="166">
        <v>30051.82</v>
      </c>
      <c r="F27" s="172">
        <f>F43</f>
        <v>3188.0182</v>
      </c>
      <c r="G27" s="166">
        <f t="shared" si="0"/>
        <v>-358.86999999999898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812783</v>
      </c>
      <c r="E29" s="166">
        <f>SUM(E30:E33)</f>
        <v>800497.13</v>
      </c>
      <c r="F29" s="166">
        <f>SUM(F30:F33)</f>
        <v>812783</v>
      </c>
      <c r="G29" s="166">
        <f>SUM(G30:G33)</f>
        <v>-12285.870000000039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13490.77</v>
      </c>
      <c r="E30" s="68">
        <v>13339.63</v>
      </c>
      <c r="F30" s="68">
        <f>D30</f>
        <v>13490.77</v>
      </c>
      <c r="G30" s="68">
        <f>E30-D30</f>
        <v>-151.14000000000124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109188.92</v>
      </c>
      <c r="E31" s="68">
        <v>103137.92</v>
      </c>
      <c r="F31" s="68">
        <f>D31</f>
        <v>109188.92</v>
      </c>
      <c r="G31" s="68">
        <f>E31-D31</f>
        <v>-6051</v>
      </c>
    </row>
    <row r="32" spans="1:9" s="97" customFormat="1" x14ac:dyDescent="0.25">
      <c r="A32" s="9" t="s">
        <v>42</v>
      </c>
      <c r="B32" s="9" t="s">
        <v>40</v>
      </c>
      <c r="C32" s="213" t="s">
        <v>504</v>
      </c>
      <c r="D32" s="68">
        <v>198977.28</v>
      </c>
      <c r="E32" s="68">
        <v>187315.28</v>
      </c>
      <c r="F32" s="68">
        <f>D32</f>
        <v>198977.28</v>
      </c>
      <c r="G32" s="68">
        <f>E32-D32</f>
        <v>-11662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491126.03</v>
      </c>
      <c r="E33" s="68">
        <v>496704.3</v>
      </c>
      <c r="F33" s="68">
        <f>D33</f>
        <v>491126.03</v>
      </c>
      <c r="G33" s="68">
        <f>E33-D33</f>
        <v>5578.2699999999604</v>
      </c>
    </row>
    <row r="34" spans="1:10" s="20" customFormat="1" ht="18.75" customHeight="1" thickBot="1" x14ac:dyDescent="0.3">
      <c r="A34" s="287" t="s">
        <v>241</v>
      </c>
      <c r="B34" s="288"/>
      <c r="C34" s="288"/>
      <c r="D34" s="73">
        <f>D13+D19+D24+D25+D26+D27+D28+D29-E19-E24-E25-E26-E27-E28-E29</f>
        <v>41166.839999999967</v>
      </c>
      <c r="E34" s="39"/>
      <c r="F34" s="39"/>
      <c r="G34" s="39"/>
      <c r="H34" s="22"/>
      <c r="I34" s="22"/>
      <c r="J34" s="22"/>
    </row>
    <row r="35" spans="1:10" s="15" customFormat="1" ht="13.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17055.13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93296.391799999998</v>
      </c>
      <c r="H37" s="40"/>
      <c r="I37" s="40"/>
    </row>
    <row r="38" spans="1:10" x14ac:dyDescent="0.25">
      <c r="B38" s="13"/>
      <c r="C38" s="13"/>
      <c r="D38" s="13"/>
      <c r="E38" s="13"/>
    </row>
    <row r="39" spans="1:10" ht="2.25" customHeight="1" x14ac:dyDescent="0.25">
      <c r="B39" s="13"/>
      <c r="C39" s="13"/>
      <c r="D39" s="13"/>
      <c r="E39" s="13"/>
    </row>
    <row r="40" spans="1:10" ht="24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10" ht="3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07"/>
    </row>
    <row r="43" spans="1:10" s="12" customFormat="1" ht="13.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SUM(F44:L45)</f>
        <v>3188.0182</v>
      </c>
      <c r="G43" s="312"/>
    </row>
    <row r="44" spans="1:10" ht="13.5" customHeight="1" x14ac:dyDescent="0.25">
      <c r="A44" s="9" t="s">
        <v>16</v>
      </c>
      <c r="B44" s="298" t="s">
        <v>296</v>
      </c>
      <c r="C44" s="299"/>
      <c r="D44" s="177"/>
      <c r="E44" s="177"/>
      <c r="F44" s="329">
        <v>2887.5</v>
      </c>
      <c r="G44" s="330"/>
    </row>
    <row r="45" spans="1:10" s="3" customFormat="1" x14ac:dyDescent="0.25">
      <c r="A45" s="9" t="s">
        <v>18</v>
      </c>
      <c r="B45" s="149" t="s">
        <v>533</v>
      </c>
      <c r="C45" s="150"/>
      <c r="D45" s="177"/>
      <c r="E45" s="177"/>
      <c r="F45" s="315">
        <f>E27*1%</f>
        <v>300.51819999999998</v>
      </c>
      <c r="G45" s="315"/>
    </row>
    <row r="46" spans="1:10" x14ac:dyDescent="0.25">
      <c r="A46" s="3"/>
      <c r="B46" s="3"/>
      <c r="C46" s="3"/>
      <c r="D46" s="3"/>
      <c r="E46" s="3"/>
      <c r="F46" s="3"/>
      <c r="G46" s="3"/>
    </row>
    <row r="47" spans="1:10" x14ac:dyDescent="0.25">
      <c r="A47" s="3" t="s">
        <v>55</v>
      </c>
      <c r="B47" s="3"/>
      <c r="C47" s="3" t="s">
        <v>49</v>
      </c>
      <c r="D47" s="3"/>
      <c r="E47" s="3"/>
      <c r="F47" s="3" t="s">
        <v>102</v>
      </c>
      <c r="G47" s="3"/>
    </row>
    <row r="48" spans="1:10" x14ac:dyDescent="0.25">
      <c r="A48" s="3"/>
      <c r="B48" s="3"/>
      <c r="C48" s="3"/>
      <c r="D48" s="3"/>
      <c r="E48" s="3"/>
      <c r="F48" s="4" t="s">
        <v>265</v>
      </c>
      <c r="G48" s="3"/>
    </row>
    <row r="49" spans="1:7" x14ac:dyDescent="0.25">
      <c r="A49" s="3" t="s">
        <v>50</v>
      </c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14" t="s">
        <v>51</v>
      </c>
      <c r="D50" s="3"/>
      <c r="E50" s="14"/>
      <c r="F50" s="14"/>
      <c r="G50" s="14"/>
    </row>
  </sheetData>
  <mergeCells count="17">
    <mergeCell ref="B43:C43"/>
    <mergeCell ref="B44:C44"/>
    <mergeCell ref="F45:G45"/>
    <mergeCell ref="A34:C34"/>
    <mergeCell ref="A11:I11"/>
    <mergeCell ref="F44:G44"/>
    <mergeCell ref="A12:I12"/>
    <mergeCell ref="A13:C13"/>
    <mergeCell ref="F42:G42"/>
    <mergeCell ref="F43:G43"/>
    <mergeCell ref="A40:I40"/>
    <mergeCell ref="B42:C42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Normal="100" workbookViewId="0">
      <selection activeCell="F44" sqref="F44"/>
    </sheetView>
  </sheetViews>
  <sheetFormatPr defaultRowHeight="15" outlineLevelCol="1" x14ac:dyDescent="0.25"/>
  <cols>
    <col min="1" max="1" width="4.7109375" style="1" customWidth="1"/>
    <col min="2" max="2" width="48.7109375" style="1" customWidth="1"/>
    <col min="3" max="3" width="14.28515625" style="1" customWidth="1"/>
    <col min="4" max="4" width="13.28515625" style="1" customWidth="1"/>
    <col min="5" max="5" width="13" style="1" customWidth="1"/>
    <col min="6" max="6" width="13.28515625" style="1" customWidth="1"/>
    <col min="7" max="7" width="14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6.75" customHeight="1" x14ac:dyDescent="0.25"/>
    <row r="7" spans="1:11" s="3" customFormat="1" ht="16.5" customHeight="1" x14ac:dyDescent="0.25">
      <c r="A7" s="3" t="s">
        <v>2</v>
      </c>
      <c r="F7" s="4" t="s">
        <v>139</v>
      </c>
    </row>
    <row r="8" spans="1:11" s="3" customFormat="1" x14ac:dyDescent="0.25">
      <c r="A8" s="3" t="s">
        <v>3</v>
      </c>
      <c r="F8" s="4" t="s">
        <v>92</v>
      </c>
    </row>
    <row r="9" spans="1:11" s="3" customFormat="1" ht="6.7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65441.38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2910.05</v>
      </c>
      <c r="H15" s="40"/>
      <c r="I15" s="40"/>
    </row>
    <row r="16" spans="1:11" s="3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14773.08</v>
      </c>
    </row>
    <row r="17" spans="1:9" s="3" customForma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92381.64</v>
      </c>
      <c r="E19" s="165">
        <v>93814.57</v>
      </c>
      <c r="F19" s="165">
        <f t="shared" ref="F19:F26" si="0">D19</f>
        <v>92381.64</v>
      </c>
      <c r="G19" s="166">
        <f t="shared" ref="G19:G28" si="1">E19-D19</f>
        <v>1432.9300000000076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33279.00014035088</v>
      </c>
      <c r="E20" s="67">
        <f>E19*I20</f>
        <v>33795.190128654969</v>
      </c>
      <c r="F20" s="67">
        <f t="shared" si="0"/>
        <v>33279.00014035088</v>
      </c>
      <c r="G20" s="68">
        <f t="shared" si="1"/>
        <v>516.18998830408964</v>
      </c>
      <c r="H20" s="71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16315.353964912279</v>
      </c>
      <c r="E21" s="67">
        <f>E19*I21</f>
        <v>16568.421134502925</v>
      </c>
      <c r="F21" s="67">
        <f t="shared" si="0"/>
        <v>16315.353964912279</v>
      </c>
      <c r="G21" s="68">
        <f t="shared" si="1"/>
        <v>253.06716959064579</v>
      </c>
      <c r="H21" s="71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14694.623438596489</v>
      </c>
      <c r="E22" s="67">
        <f>E19*I22</f>
        <v>14922.551485380116</v>
      </c>
      <c r="F22" s="67">
        <f t="shared" si="0"/>
        <v>14694.623438596489</v>
      </c>
      <c r="G22" s="68">
        <f t="shared" si="1"/>
        <v>227.928046783627</v>
      </c>
      <c r="H22" s="71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28092.662456140348</v>
      </c>
      <c r="E23" s="67">
        <f>E19*I23</f>
        <v>28528.407251461987</v>
      </c>
      <c r="F23" s="67">
        <f t="shared" si="0"/>
        <v>28092.662456140348</v>
      </c>
      <c r="G23" s="68">
        <f t="shared" si="1"/>
        <v>435.74479532163969</v>
      </c>
      <c r="H23" s="71">
        <f t="shared" si="2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-3200</v>
      </c>
      <c r="E24" s="166">
        <v>0</v>
      </c>
      <c r="F24" s="166">
        <f t="shared" si="0"/>
        <v>-3200</v>
      </c>
      <c r="G24" s="166">
        <f t="shared" si="1"/>
        <v>3200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49702.080000000002</v>
      </c>
      <c r="E25" s="166">
        <v>50252.22</v>
      </c>
      <c r="F25" s="166">
        <f t="shared" si="0"/>
        <v>49702.080000000002</v>
      </c>
      <c r="G25" s="166">
        <f t="shared" si="1"/>
        <v>550.13999999999942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438.72</v>
      </c>
      <c r="E26" s="166">
        <v>443.07</v>
      </c>
      <c r="F26" s="166">
        <f t="shared" si="0"/>
        <v>438.72</v>
      </c>
      <c r="G26" s="166">
        <f t="shared" si="1"/>
        <v>4.3499999999999659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17828.52</v>
      </c>
      <c r="E27" s="166">
        <v>18225.96</v>
      </c>
      <c r="F27" s="172">
        <f>F42</f>
        <v>182.25960000000001</v>
      </c>
      <c r="G27" s="166">
        <f t="shared" si="1"/>
        <v>397.43999999999869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1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503513.39</v>
      </c>
      <c r="E29" s="166">
        <f>SUM(E30:E33)</f>
        <v>514641.77</v>
      </c>
      <c r="F29" s="166">
        <f>SUM(F30:F33)</f>
        <v>503513.39</v>
      </c>
      <c r="G29" s="166">
        <f>SUM(G30:G33)</f>
        <v>11128.380000000037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9112.32</v>
      </c>
      <c r="E30" s="68">
        <v>9297.16</v>
      </c>
      <c r="F30" s="68">
        <f>D30</f>
        <v>9112.32</v>
      </c>
      <c r="G30" s="68">
        <f>E30-D30</f>
        <v>184.84000000000015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168921.78</v>
      </c>
      <c r="E31" s="68">
        <v>170711.41</v>
      </c>
      <c r="F31" s="68">
        <f>D31</f>
        <v>168921.78</v>
      </c>
      <c r="G31" s="68">
        <f>E31-D31</f>
        <v>1789.6300000000047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325479.28999999998</v>
      </c>
      <c r="E33" s="68">
        <v>334633.2</v>
      </c>
      <c r="F33" s="68">
        <f>D33</f>
        <v>325479.28999999998</v>
      </c>
      <c r="G33" s="68">
        <f>E33-D33</f>
        <v>9153.9100000000326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48728.140000000014</v>
      </c>
      <c r="E34" s="39"/>
      <c r="F34" s="39"/>
      <c r="G34" s="39"/>
      <c r="H34" s="40"/>
      <c r="I34" s="40"/>
      <c r="J34" s="22"/>
    </row>
    <row r="35" spans="1:10" s="15" customFormat="1" ht="10.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2910.05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32816.780400000003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4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SUM(F43:L43)</f>
        <v>182.25960000000001</v>
      </c>
      <c r="G42" s="312"/>
      <c r="H42" s="12"/>
      <c r="I42" s="12"/>
    </row>
    <row r="43" spans="1:10" s="3" customFormat="1" x14ac:dyDescent="0.25">
      <c r="A43" s="9" t="s">
        <v>16</v>
      </c>
      <c r="B43" s="149" t="s">
        <v>533</v>
      </c>
      <c r="C43" s="150"/>
      <c r="D43" s="177"/>
      <c r="E43" s="177"/>
      <c r="F43" s="315">
        <f>E27*1%</f>
        <v>182.25960000000001</v>
      </c>
      <c r="G43" s="315"/>
      <c r="H43" s="1"/>
      <c r="I43" s="1"/>
    </row>
    <row r="44" spans="1:10" s="3" customFormat="1" ht="11.25" customHeight="1" x14ac:dyDescent="0.25"/>
    <row r="45" spans="1:10" s="3" customFormat="1" x14ac:dyDescent="0.25">
      <c r="A45" s="3" t="s">
        <v>55</v>
      </c>
      <c r="C45" s="3" t="s">
        <v>49</v>
      </c>
      <c r="F45" s="3" t="s">
        <v>102</v>
      </c>
    </row>
    <row r="46" spans="1:10" s="3" customFormat="1" x14ac:dyDescent="0.25">
      <c r="F46" s="4" t="s">
        <v>265</v>
      </c>
    </row>
    <row r="47" spans="1:10" x14ac:dyDescent="0.25">
      <c r="A47" s="3" t="s">
        <v>50</v>
      </c>
      <c r="B47" s="3"/>
      <c r="C47" s="3"/>
      <c r="D47" s="3"/>
      <c r="E47" s="3"/>
      <c r="F47" s="3"/>
      <c r="G47" s="3"/>
      <c r="H47" s="3"/>
      <c r="I47" s="3"/>
    </row>
    <row r="48" spans="1:10" x14ac:dyDescent="0.25">
      <c r="A48" s="3"/>
      <c r="B48" s="3"/>
      <c r="C48" s="14" t="s">
        <v>51</v>
      </c>
      <c r="D48" s="3"/>
      <c r="E48" s="14"/>
      <c r="F48" s="14"/>
      <c r="G48" s="14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</sheetData>
  <mergeCells count="15">
    <mergeCell ref="F43:G43"/>
    <mergeCell ref="A34:C34"/>
    <mergeCell ref="A39:I39"/>
    <mergeCell ref="B41:C41"/>
    <mergeCell ref="F41:G41"/>
    <mergeCell ref="B42:C42"/>
    <mergeCell ref="A12:I12"/>
    <mergeCell ref="F42:G42"/>
    <mergeCell ref="A13:C13"/>
    <mergeCell ref="A11:I11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N16" sqref="N16"/>
    </sheetView>
  </sheetViews>
  <sheetFormatPr defaultRowHeight="15" outlineLevelCol="1" x14ac:dyDescent="0.25"/>
  <cols>
    <col min="1" max="1" width="5.5703125" style="1" customWidth="1"/>
    <col min="2" max="2" width="40.28515625" style="1" bestFit="1" customWidth="1"/>
    <col min="3" max="3" width="13.7109375" style="1" customWidth="1"/>
    <col min="4" max="4" width="13.42578125" style="1" customWidth="1"/>
    <col min="5" max="5" width="13" style="1" customWidth="1"/>
    <col min="6" max="6" width="12.7109375" style="1" customWidth="1"/>
    <col min="7" max="7" width="13.285156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6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8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ht="16.5" customHeight="1" x14ac:dyDescent="0.25">
      <c r="A7" s="3" t="s">
        <v>2</v>
      </c>
      <c r="F7" s="4" t="s">
        <v>136</v>
      </c>
    </row>
    <row r="8" spans="1:11" s="3" customFormat="1" x14ac:dyDescent="0.25">
      <c r="A8" s="3" t="s">
        <v>3</v>
      </c>
      <c r="F8" s="4" t="s">
        <v>348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56046.26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-4113.07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-24623.27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129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14.25" x14ac:dyDescent="0.2">
      <c r="A19" s="187" t="s">
        <v>14</v>
      </c>
      <c r="B19" s="36" t="s">
        <v>15</v>
      </c>
      <c r="C19" s="164">
        <f>C20+C21+C22+C23</f>
        <v>8.5500000000000007</v>
      </c>
      <c r="D19" s="165">
        <v>300971.71999999997</v>
      </c>
      <c r="E19" s="165">
        <v>290682.87</v>
      </c>
      <c r="F19" s="165">
        <f>D19</f>
        <v>300971.71999999997</v>
      </c>
      <c r="G19" s="166">
        <f t="shared" ref="G19:G28" si="0">E19-D19</f>
        <v>-10288.849999999977</v>
      </c>
      <c r="H19" s="189">
        <f>C19</f>
        <v>8.5500000000000007</v>
      </c>
    </row>
    <row r="20" spans="1:9" s="3" customFormat="1" x14ac:dyDescent="0.25">
      <c r="A20" s="8" t="s">
        <v>16</v>
      </c>
      <c r="B20" s="28" t="s">
        <v>17</v>
      </c>
      <c r="C20" s="157">
        <v>3.08</v>
      </c>
      <c r="D20" s="67">
        <f>D19*I20</f>
        <v>108420.22194152046</v>
      </c>
      <c r="E20" s="67">
        <f>E19*I20</f>
        <v>104713.82919298245</v>
      </c>
      <c r="F20" s="67">
        <f>D20</f>
        <v>108420.22194152046</v>
      </c>
      <c r="G20" s="68">
        <f t="shared" si="0"/>
        <v>-3706.3927485380118</v>
      </c>
      <c r="H20" s="122">
        <f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28" t="s">
        <v>19</v>
      </c>
      <c r="C21" s="157">
        <v>1.51</v>
      </c>
      <c r="D21" s="67">
        <f>D19*I21</f>
        <v>53154.069847953207</v>
      </c>
      <c r="E21" s="67">
        <f>E19*I21</f>
        <v>51336.974701754378</v>
      </c>
      <c r="F21" s="67">
        <f>D21</f>
        <v>53154.069847953207</v>
      </c>
      <c r="G21" s="68">
        <f t="shared" si="0"/>
        <v>-1817.0951461988298</v>
      </c>
      <c r="H21" s="122">
        <f>C21</f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28" t="s">
        <v>21</v>
      </c>
      <c r="C22" s="157">
        <v>1.36</v>
      </c>
      <c r="D22" s="67">
        <f>D19*I22</f>
        <v>47873.864233918117</v>
      </c>
      <c r="E22" s="67">
        <f>E19*I22</f>
        <v>46237.275228070168</v>
      </c>
      <c r="F22" s="67">
        <f>D22</f>
        <v>47873.864233918117</v>
      </c>
      <c r="G22" s="68">
        <f t="shared" si="0"/>
        <v>-1636.589005847949</v>
      </c>
      <c r="H22" s="122">
        <f>C22</f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28" t="s">
        <v>23</v>
      </c>
      <c r="C23" s="157">
        <v>2.6</v>
      </c>
      <c r="D23" s="67">
        <f>D19*I23</f>
        <v>91523.563976608173</v>
      </c>
      <c r="E23" s="67">
        <f>E19*I23</f>
        <v>88394.79087719298</v>
      </c>
      <c r="F23" s="67">
        <f>D23</f>
        <v>91523.563976608173</v>
      </c>
      <c r="G23" s="68">
        <f t="shared" si="0"/>
        <v>-3128.7730994151934</v>
      </c>
      <c r="H23" s="122">
        <f>C23</f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17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171">
        <v>4.5999999999999996</v>
      </c>
      <c r="D25" s="166">
        <v>161925.51999999999</v>
      </c>
      <c r="E25" s="166">
        <v>156473.17000000001</v>
      </c>
      <c r="F25" s="166">
        <f>D25</f>
        <v>161925.51999999999</v>
      </c>
      <c r="G25" s="166">
        <f t="shared" si="0"/>
        <v>-5452.3499999999767</v>
      </c>
    </row>
    <row r="26" spans="1:9" s="186" customFormat="1" ht="14.25" x14ac:dyDescent="0.2">
      <c r="A26" s="137" t="s">
        <v>29</v>
      </c>
      <c r="B26" s="170" t="s">
        <v>248</v>
      </c>
      <c r="C26" s="171">
        <v>1755.25</v>
      </c>
      <c r="D26" s="166">
        <v>12842.78</v>
      </c>
      <c r="E26" s="166">
        <v>12481.25</v>
      </c>
      <c r="F26" s="166">
        <f>D26</f>
        <v>12842.78</v>
      </c>
      <c r="G26" s="166">
        <f>E26-D26</f>
        <v>-361.53000000000065</v>
      </c>
    </row>
    <row r="27" spans="1:9" s="186" customFormat="1" ht="14.25" x14ac:dyDescent="0.2">
      <c r="A27" s="137" t="s">
        <v>31</v>
      </c>
      <c r="B27" s="170" t="s">
        <v>132</v>
      </c>
      <c r="C27" s="171">
        <v>1.65</v>
      </c>
      <c r="D27" s="166">
        <v>58083.44</v>
      </c>
      <c r="E27" s="166">
        <v>56238.99</v>
      </c>
      <c r="F27" s="172">
        <f>F42-F26</f>
        <v>102644.0399</v>
      </c>
      <c r="G27" s="166">
        <f t="shared" si="0"/>
        <v>-1844.4500000000044</v>
      </c>
    </row>
    <row r="28" spans="1:9" s="116" customFormat="1" ht="14.25" x14ac:dyDescent="0.2">
      <c r="A28" s="195" t="s">
        <v>33</v>
      </c>
      <c r="B28" s="36" t="s">
        <v>34</v>
      </c>
      <c r="C28" s="164">
        <v>0</v>
      </c>
      <c r="D28" s="115">
        <v>0</v>
      </c>
      <c r="E28" s="115">
        <v>1580.68</v>
      </c>
      <c r="F28" s="196">
        <v>0</v>
      </c>
      <c r="G28" s="115">
        <f t="shared" si="0"/>
        <v>1580.68</v>
      </c>
    </row>
    <row r="29" spans="1:9" s="186" customFormat="1" ht="14.25" x14ac:dyDescent="0.2">
      <c r="A29" s="137" t="s">
        <v>35</v>
      </c>
      <c r="B29" s="36" t="s">
        <v>36</v>
      </c>
      <c r="C29" s="164"/>
      <c r="D29" s="166">
        <f>SUM(D30:D33)</f>
        <v>1232385.45</v>
      </c>
      <c r="E29" s="166">
        <f>SUM(E30:E33)</f>
        <v>1183902</v>
      </c>
      <c r="F29" s="166">
        <f>SUM(F30:F33)</f>
        <v>1232385.45</v>
      </c>
      <c r="G29" s="166">
        <f>SUM(G30:G33)</f>
        <v>-48483.449999999939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11477.57</v>
      </c>
      <c r="E30" s="68">
        <v>11120.3</v>
      </c>
      <c r="F30" s="68">
        <f>D30</f>
        <v>11477.57</v>
      </c>
      <c r="G30" s="68">
        <f>E30-D30</f>
        <v>-357.27000000000044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384715.49</v>
      </c>
      <c r="E31" s="68">
        <v>374253.89</v>
      </c>
      <c r="F31" s="68">
        <f>D31</f>
        <v>384715.49</v>
      </c>
      <c r="G31" s="68">
        <f>E31-D31</f>
        <v>-10461.599999999977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v>0</v>
      </c>
      <c r="G32" s="68">
        <f>E32-D32</f>
        <v>0</v>
      </c>
    </row>
    <row r="33" spans="1:9" ht="15.75" thickBot="1" x14ac:dyDescent="0.3">
      <c r="A33" s="9" t="s">
        <v>41</v>
      </c>
      <c r="B33" s="9" t="s">
        <v>43</v>
      </c>
      <c r="C33" s="152" t="s">
        <v>247</v>
      </c>
      <c r="D33" s="68">
        <v>836192.39</v>
      </c>
      <c r="E33" s="68">
        <v>798527.81</v>
      </c>
      <c r="F33" s="68">
        <f>D33</f>
        <v>836192.39</v>
      </c>
      <c r="G33" s="68">
        <f>E33-D33</f>
        <v>-37664.579999999958</v>
      </c>
    </row>
    <row r="34" spans="1:9" s="15" customFormat="1" ht="15.75" thickBot="1" x14ac:dyDescent="0.3">
      <c r="A34" s="287" t="s">
        <v>241</v>
      </c>
      <c r="B34" s="288"/>
      <c r="C34" s="288"/>
      <c r="D34" s="73">
        <f>D13+D19+D25+D26+D27+D28+D29-E19-E25-E26-E27-E28-E29</f>
        <v>120896.20999999996</v>
      </c>
      <c r="E34" s="39"/>
      <c r="F34" s="39"/>
      <c r="G34" s="39"/>
      <c r="H34" s="40"/>
      <c r="I34" s="40"/>
    </row>
    <row r="35" spans="1:9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 x14ac:dyDescent="0.3">
      <c r="A36" s="87" t="s">
        <v>242</v>
      </c>
      <c r="B36" s="43"/>
      <c r="C36" s="43"/>
      <c r="D36" s="44"/>
      <c r="E36" s="45"/>
      <c r="F36" s="45"/>
      <c r="G36" s="66">
        <f>G15+E28-F28</f>
        <v>-2532.3899999999994</v>
      </c>
      <c r="H36" s="40"/>
      <c r="I36" s="40"/>
    </row>
    <row r="37" spans="1:9" s="15" customFormat="1" ht="15.75" thickBot="1" x14ac:dyDescent="0.3">
      <c r="A37" s="138" t="s">
        <v>243</v>
      </c>
      <c r="B37" s="139"/>
      <c r="C37" s="139"/>
      <c r="D37" s="44"/>
      <c r="E37" s="45"/>
      <c r="F37" s="45"/>
      <c r="G37" s="66">
        <f>G16+E27-F27</f>
        <v>-71028.319900000002</v>
      </c>
      <c r="H37" s="40"/>
      <c r="I37" s="40"/>
    </row>
    <row r="38" spans="1:9" s="15" customFormat="1" x14ac:dyDescent="0.25">
      <c r="A38" s="140"/>
      <c r="B38" s="41"/>
      <c r="C38" s="41"/>
      <c r="D38" s="42"/>
      <c r="E38" s="39"/>
      <c r="F38" s="39"/>
      <c r="G38" s="141"/>
      <c r="H38" s="40"/>
      <c r="I38" s="40"/>
    </row>
    <row r="39" spans="1:9" ht="33.75" customHeight="1" x14ac:dyDescent="0.25">
      <c r="A39" s="289" t="s">
        <v>44</v>
      </c>
      <c r="B39" s="289"/>
      <c r="C39" s="289"/>
      <c r="D39" s="289"/>
      <c r="E39" s="289"/>
      <c r="F39" s="289"/>
      <c r="G39" s="289"/>
      <c r="H39" s="289"/>
      <c r="I39" s="289"/>
    </row>
    <row r="41" spans="1:9" s="7" customFormat="1" ht="28.5" customHeight="1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12"/>
    </row>
    <row r="42" spans="1:9" s="12" customFormat="1" ht="15" customHeight="1" x14ac:dyDescent="0.25">
      <c r="A42" s="11" t="s">
        <v>47</v>
      </c>
      <c r="B42" s="308" t="s">
        <v>127</v>
      </c>
      <c r="C42" s="309"/>
      <c r="D42" s="174"/>
      <c r="E42" s="174"/>
      <c r="F42" s="313">
        <f>SUM(F43:G45)</f>
        <v>115486.8199</v>
      </c>
      <c r="G42" s="314"/>
    </row>
    <row r="43" spans="1:9" ht="15.75" customHeight="1" x14ac:dyDescent="0.25">
      <c r="A43" s="9" t="s">
        <v>16</v>
      </c>
      <c r="B43" s="298" t="s">
        <v>264</v>
      </c>
      <c r="C43" s="299"/>
      <c r="D43" s="177" t="s">
        <v>262</v>
      </c>
      <c r="E43" s="177">
        <v>17</v>
      </c>
      <c r="F43" s="311">
        <v>9084.08</v>
      </c>
      <c r="G43" s="311"/>
    </row>
    <row r="44" spans="1:9" ht="15.75" customHeight="1" x14ac:dyDescent="0.25">
      <c r="A44" s="9" t="s">
        <v>18</v>
      </c>
      <c r="B44" s="298" t="s">
        <v>326</v>
      </c>
      <c r="C44" s="299"/>
      <c r="D44" s="177"/>
      <c r="E44" s="177"/>
      <c r="F44" s="311">
        <v>105840.35</v>
      </c>
      <c r="G44" s="311"/>
    </row>
    <row r="45" spans="1:9" s="48" customFormat="1" ht="15.75" customHeight="1" x14ac:dyDescent="0.25">
      <c r="A45" s="9" t="s">
        <v>20</v>
      </c>
      <c r="B45" s="294" t="s">
        <v>533</v>
      </c>
      <c r="C45" s="295"/>
      <c r="D45" s="200"/>
      <c r="E45" s="200"/>
      <c r="F45" s="310">
        <f>E27*1%</f>
        <v>562.38990000000001</v>
      </c>
      <c r="G45" s="310"/>
    </row>
    <row r="46" spans="1:9" x14ac:dyDescent="0.25">
      <c r="B46" s="13"/>
      <c r="C46" s="13"/>
      <c r="D46" s="13"/>
      <c r="E46" s="13"/>
    </row>
    <row r="47" spans="1:9" s="3" customFormat="1" x14ac:dyDescent="0.25">
      <c r="A47" s="3" t="s">
        <v>55</v>
      </c>
      <c r="C47" s="3" t="s">
        <v>49</v>
      </c>
      <c r="F47" s="3" t="s">
        <v>102</v>
      </c>
    </row>
    <row r="48" spans="1:9" s="3" customFormat="1" x14ac:dyDescent="0.25">
      <c r="F48" s="4" t="s">
        <v>244</v>
      </c>
    </row>
    <row r="49" spans="1:7" s="3" customFormat="1" x14ac:dyDescent="0.25">
      <c r="A49" s="3" t="s">
        <v>50</v>
      </c>
    </row>
    <row r="50" spans="1:7" s="3" customFormat="1" x14ac:dyDescent="0.25">
      <c r="C50" s="14" t="s">
        <v>51</v>
      </c>
      <c r="E50" s="14"/>
      <c r="F50" s="14"/>
      <c r="G50" s="14"/>
    </row>
    <row r="51" spans="1:7" s="3" customFormat="1" x14ac:dyDescent="0.25"/>
    <row r="52" spans="1:7" s="3" customFormat="1" x14ac:dyDescent="0.25"/>
  </sheetData>
  <mergeCells count="20">
    <mergeCell ref="A11:I11"/>
    <mergeCell ref="A1:I1"/>
    <mergeCell ref="A2:I2"/>
    <mergeCell ref="A5:I5"/>
    <mergeCell ref="A10:I10"/>
    <mergeCell ref="A3:K3"/>
    <mergeCell ref="F45:G45"/>
    <mergeCell ref="B42:C42"/>
    <mergeCell ref="B43:C43"/>
    <mergeCell ref="B45:C45"/>
    <mergeCell ref="A12:I12"/>
    <mergeCell ref="A39:I39"/>
    <mergeCell ref="B44:C44"/>
    <mergeCell ref="F44:G44"/>
    <mergeCell ref="A13:C13"/>
    <mergeCell ref="A34:C34"/>
    <mergeCell ref="F43:G43"/>
    <mergeCell ref="F41:G41"/>
    <mergeCell ref="B41:C41"/>
    <mergeCell ref="F42:G42"/>
  </mergeCells>
  <phoneticPr fontId="18" type="noConversion"/>
  <pageMargins left="0" right="0" top="0" bottom="0" header="0.31496062992125984" footer="0.31496062992125984"/>
  <pageSetup paperSize="9" scale="81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G36" sqref="G36"/>
    </sheetView>
  </sheetViews>
  <sheetFormatPr defaultRowHeight="15" outlineLevelCol="1" x14ac:dyDescent="0.25"/>
  <cols>
    <col min="1" max="1" width="6.140625" style="1" customWidth="1"/>
    <col min="2" max="2" width="48.28515625" style="1" customWidth="1"/>
    <col min="3" max="3" width="14.5703125" style="1" customWidth="1"/>
    <col min="4" max="4" width="13.140625" style="1" customWidth="1"/>
    <col min="5" max="5" width="13" style="1" customWidth="1"/>
    <col min="6" max="6" width="13.140625" style="1" customWidth="1"/>
    <col min="7" max="7" width="13.855468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ht="15" customHeight="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ht="15" customHeight="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4.2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8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3.5" customHeight="1" x14ac:dyDescent="0.25">
      <c r="A5" s="301" t="s">
        <v>1</v>
      </c>
      <c r="B5" s="301"/>
      <c r="C5" s="301"/>
      <c r="D5" s="301"/>
      <c r="E5" s="301"/>
      <c r="F5" s="301"/>
      <c r="G5" s="301"/>
      <c r="H5" s="301"/>
      <c r="I5" s="301"/>
    </row>
    <row r="6" spans="1:11" ht="3.75" customHeight="1" x14ac:dyDescent="0.25"/>
    <row r="7" spans="1:11" s="3" customFormat="1" ht="16.5" customHeight="1" x14ac:dyDescent="0.25">
      <c r="A7" s="3" t="s">
        <v>2</v>
      </c>
      <c r="F7" s="4" t="s">
        <v>93</v>
      </c>
    </row>
    <row r="8" spans="1:11" s="3" customFormat="1" x14ac:dyDescent="0.25">
      <c r="A8" s="3" t="s">
        <v>3</v>
      </c>
      <c r="F8" s="4" t="s">
        <v>191</v>
      </c>
    </row>
    <row r="9" spans="1:11" s="3" customFormat="1" ht="6.7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346"/>
      <c r="C13" s="346"/>
      <c r="D13" s="38">
        <v>715837.12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5697.05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-321627.12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8.9599999999999991</v>
      </c>
      <c r="D19" s="165">
        <v>592649</v>
      </c>
      <c r="E19" s="165">
        <v>572334.61</v>
      </c>
      <c r="F19" s="165">
        <f>D19</f>
        <v>592649</v>
      </c>
      <c r="G19" s="166">
        <f t="shared" ref="G19:G28" si="0">E19-D19</f>
        <v>-20314.390000000014</v>
      </c>
      <c r="H19" s="162">
        <f>C19</f>
        <v>8.9599999999999991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203723.09375000003</v>
      </c>
      <c r="E20" s="67">
        <f>E19*I20</f>
        <v>196740.02218750003</v>
      </c>
      <c r="F20" s="67">
        <f>D20</f>
        <v>203723.09375000003</v>
      </c>
      <c r="G20" s="68">
        <f t="shared" si="0"/>
        <v>-6983.0715625000012</v>
      </c>
      <c r="H20" s="162">
        <f t="shared" ref="H20:H23" si="1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97231.476562500015</v>
      </c>
      <c r="E21" s="67">
        <f>E19*I21</f>
        <v>93898.646953125019</v>
      </c>
      <c r="F21" s="67">
        <f>D21</f>
        <v>97231.476562500015</v>
      </c>
      <c r="G21" s="68">
        <f t="shared" si="0"/>
        <v>-3332.8296093749959</v>
      </c>
      <c r="H21" s="162">
        <f t="shared" si="1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119720.38950892859</v>
      </c>
      <c r="E22" s="67">
        <f>E19*I22</f>
        <v>115616.70135044644</v>
      </c>
      <c r="F22" s="67">
        <f>D22</f>
        <v>119720.38950892859</v>
      </c>
      <c r="G22" s="68">
        <f t="shared" si="0"/>
        <v>-4103.6881584821531</v>
      </c>
      <c r="H22" s="162">
        <f t="shared" si="1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171974.04017857145</v>
      </c>
      <c r="E23" s="67">
        <f>E19*I23</f>
        <v>166079.23950892859</v>
      </c>
      <c r="F23" s="67">
        <f>D23</f>
        <v>171974.04017857145</v>
      </c>
      <c r="G23" s="68">
        <f t="shared" si="0"/>
        <v>-5894.8006696428638</v>
      </c>
      <c r="H23" s="162">
        <f t="shared" si="1"/>
        <v>2.6</v>
      </c>
      <c r="I23" s="15">
        <f>H23/H19</f>
        <v>0.29017857142857145</v>
      </c>
    </row>
    <row r="24" spans="1:9" x14ac:dyDescent="0.25">
      <c r="A24" s="137" t="s">
        <v>25</v>
      </c>
      <c r="B24" s="170" t="s">
        <v>320</v>
      </c>
      <c r="C24" s="201">
        <v>0</v>
      </c>
      <c r="D24" s="166">
        <v>0</v>
      </c>
      <c r="E24" s="166">
        <v>0</v>
      </c>
      <c r="F24" s="166">
        <v>0</v>
      </c>
      <c r="G24" s="166">
        <f>E24-D24</f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304261.48</v>
      </c>
      <c r="E25" s="166">
        <v>293856.57</v>
      </c>
      <c r="F25" s="166">
        <f>D25</f>
        <v>304261.48</v>
      </c>
      <c r="G25" s="166">
        <f t="shared" si="0"/>
        <v>-10404.909999999974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x14ac:dyDescent="0.25">
      <c r="A27" s="137" t="s">
        <v>31</v>
      </c>
      <c r="B27" s="170" t="s">
        <v>132</v>
      </c>
      <c r="C27" s="180">
        <v>1.82</v>
      </c>
      <c r="D27" s="166">
        <v>120381.86</v>
      </c>
      <c r="E27" s="166">
        <v>116531.44</v>
      </c>
      <c r="F27" s="172">
        <f>F42</f>
        <v>142333.10440000001</v>
      </c>
      <c r="G27" s="166">
        <f t="shared" si="0"/>
        <v>-3850.4199999999983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3214227.5300000003</v>
      </c>
      <c r="E29" s="166">
        <f>SUM(E30:E33)</f>
        <v>3094841.06</v>
      </c>
      <c r="F29" s="166">
        <f>SUM(F30:F33)</f>
        <v>3214227.5300000003</v>
      </c>
      <c r="G29" s="166">
        <f>SUM(G30:G33)</f>
        <v>-119386.46999999994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51744.56</v>
      </c>
      <c r="E30" s="68">
        <v>50194.28</v>
      </c>
      <c r="F30" s="68">
        <f>D30</f>
        <v>51744.56</v>
      </c>
      <c r="G30" s="68">
        <f>E30-D30</f>
        <v>-1550.2799999999988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418368.26</v>
      </c>
      <c r="E31" s="68">
        <v>402652.73</v>
      </c>
      <c r="F31" s="68">
        <f>D31</f>
        <v>418368.26</v>
      </c>
      <c r="G31" s="68">
        <f>E31-D31</f>
        <v>-15715.530000000028</v>
      </c>
    </row>
    <row r="32" spans="1:9" s="97" customFormat="1" x14ac:dyDescent="0.25">
      <c r="A32" s="9" t="s">
        <v>42</v>
      </c>
      <c r="B32" s="9" t="s">
        <v>40</v>
      </c>
      <c r="C32" s="213" t="s">
        <v>504</v>
      </c>
      <c r="D32" s="68">
        <v>751641.55</v>
      </c>
      <c r="E32" s="68">
        <v>710119.48</v>
      </c>
      <c r="F32" s="68">
        <f>D32</f>
        <v>751641.55</v>
      </c>
      <c r="G32" s="68">
        <f>E32-D32</f>
        <v>-41522.070000000065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1992473.16</v>
      </c>
      <c r="E33" s="68">
        <v>1931874.57</v>
      </c>
      <c r="F33" s="68">
        <f>D33</f>
        <v>1992473.16</v>
      </c>
      <c r="G33" s="68">
        <f>E33-D33</f>
        <v>-60598.589999999851</v>
      </c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869793.31</v>
      </c>
      <c r="E34" s="39"/>
      <c r="F34" s="39"/>
      <c r="G34" s="39"/>
      <c r="H34" s="22"/>
      <c r="I34" s="22"/>
      <c r="J34" s="22"/>
    </row>
    <row r="35" spans="1:10" s="15" customFormat="1" ht="5.2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5697.05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-347428.7844</v>
      </c>
      <c r="H37" s="40"/>
      <c r="I37" s="40"/>
    </row>
    <row r="38" spans="1:10" s="15" customFormat="1" x14ac:dyDescent="0.25">
      <c r="A38" s="140"/>
      <c r="B38" s="41"/>
      <c r="C38" s="41"/>
      <c r="D38" s="42"/>
      <c r="E38" s="39"/>
      <c r="F38" s="39"/>
      <c r="G38" s="42"/>
      <c r="H38" s="40"/>
      <c r="I38" s="40"/>
    </row>
    <row r="39" spans="1:10" ht="24.7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3" customHeight="1" x14ac:dyDescent="0.25"/>
    <row r="41" spans="1:10" s="7" customFormat="1" ht="28.5" customHeight="1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</row>
    <row r="42" spans="1:10" s="12" customFormat="1" ht="13.5" customHeight="1" x14ac:dyDescent="0.25">
      <c r="A42" s="11" t="s">
        <v>47</v>
      </c>
      <c r="B42" s="308" t="s">
        <v>127</v>
      </c>
      <c r="C42" s="309"/>
      <c r="D42" s="176"/>
      <c r="E42" s="176"/>
      <c r="F42" s="316">
        <f>SUM(F43:L54)</f>
        <v>142333.10440000001</v>
      </c>
      <c r="G42" s="312"/>
    </row>
    <row r="43" spans="1:10" ht="13.5" customHeight="1" x14ac:dyDescent="0.25">
      <c r="A43" s="9" t="s">
        <v>16</v>
      </c>
      <c r="B43" s="298" t="s">
        <v>330</v>
      </c>
      <c r="C43" s="299"/>
      <c r="D43" s="177" t="s">
        <v>255</v>
      </c>
      <c r="E43" s="177">
        <v>1</v>
      </c>
      <c r="F43" s="329">
        <v>8093.03</v>
      </c>
      <c r="G43" s="330"/>
    </row>
    <row r="44" spans="1:10" s="48" customFormat="1" ht="13.5" customHeight="1" x14ac:dyDescent="0.25">
      <c r="A44" s="9" t="s">
        <v>18</v>
      </c>
      <c r="B44" s="298" t="s">
        <v>331</v>
      </c>
      <c r="C44" s="299"/>
      <c r="D44" s="177" t="s">
        <v>255</v>
      </c>
      <c r="E44" s="177">
        <v>13</v>
      </c>
      <c r="F44" s="315">
        <v>11492.02</v>
      </c>
      <c r="G44" s="315"/>
      <c r="H44" s="1"/>
      <c r="I44" s="1"/>
    </row>
    <row r="45" spans="1:10" ht="13.5" customHeight="1" x14ac:dyDescent="0.25">
      <c r="A45" s="9" t="s">
        <v>20</v>
      </c>
      <c r="B45" s="298" t="s">
        <v>332</v>
      </c>
      <c r="C45" s="299"/>
      <c r="D45" s="177" t="s">
        <v>255</v>
      </c>
      <c r="E45" s="177">
        <v>12.2</v>
      </c>
      <c r="F45" s="329">
        <v>10673.87</v>
      </c>
      <c r="G45" s="330"/>
    </row>
    <row r="46" spans="1:10" ht="13.5" customHeight="1" x14ac:dyDescent="0.25">
      <c r="A46" s="9" t="s">
        <v>22</v>
      </c>
      <c r="B46" s="298" t="s">
        <v>304</v>
      </c>
      <c r="C46" s="299"/>
      <c r="D46" s="177" t="s">
        <v>295</v>
      </c>
      <c r="E46" s="177">
        <v>85</v>
      </c>
      <c r="F46" s="329">
        <v>38631.69</v>
      </c>
      <c r="G46" s="330"/>
    </row>
    <row r="47" spans="1:10" ht="13.5" customHeight="1" x14ac:dyDescent="0.25">
      <c r="A47" s="9" t="s">
        <v>24</v>
      </c>
      <c r="B47" s="298" t="s">
        <v>232</v>
      </c>
      <c r="C47" s="299"/>
      <c r="D47" s="177" t="s">
        <v>295</v>
      </c>
      <c r="E47" s="177">
        <v>1400</v>
      </c>
      <c r="F47" s="329">
        <v>10050.4</v>
      </c>
      <c r="G47" s="330"/>
    </row>
    <row r="48" spans="1:10" s="3" customFormat="1" x14ac:dyDescent="0.25">
      <c r="A48" s="9" t="s">
        <v>117</v>
      </c>
      <c r="B48" s="298" t="s">
        <v>333</v>
      </c>
      <c r="C48" s="299"/>
      <c r="D48" s="177" t="s">
        <v>255</v>
      </c>
      <c r="E48" s="177">
        <v>9</v>
      </c>
      <c r="F48" s="329">
        <v>5353.35</v>
      </c>
      <c r="G48" s="330"/>
      <c r="H48" s="1"/>
      <c r="I48" s="1"/>
    </row>
    <row r="49" spans="1:9" s="3" customFormat="1" x14ac:dyDescent="0.25">
      <c r="A49" s="9" t="s">
        <v>118</v>
      </c>
      <c r="B49" s="298" t="s">
        <v>334</v>
      </c>
      <c r="C49" s="299"/>
      <c r="D49" s="177" t="s">
        <v>255</v>
      </c>
      <c r="E49" s="177">
        <v>32</v>
      </c>
      <c r="F49" s="329">
        <v>18580.330000000002</v>
      </c>
      <c r="G49" s="330"/>
      <c r="H49" s="1"/>
      <c r="I49" s="1"/>
    </row>
    <row r="50" spans="1:9" s="3" customFormat="1" ht="13.5" customHeight="1" x14ac:dyDescent="0.25">
      <c r="A50" s="9" t="s">
        <v>133</v>
      </c>
      <c r="B50" s="298" t="s">
        <v>300</v>
      </c>
      <c r="C50" s="299"/>
      <c r="D50" s="177" t="s">
        <v>262</v>
      </c>
      <c r="E50" s="177">
        <v>7</v>
      </c>
      <c r="F50" s="329">
        <v>4693.29</v>
      </c>
      <c r="G50" s="330"/>
      <c r="H50" s="1"/>
      <c r="I50" s="1"/>
    </row>
    <row r="51" spans="1:9" s="3" customFormat="1" ht="13.5" customHeight="1" x14ac:dyDescent="0.25">
      <c r="A51" s="9" t="s">
        <v>134</v>
      </c>
      <c r="B51" s="298" t="s">
        <v>335</v>
      </c>
      <c r="C51" s="299"/>
      <c r="D51" s="177" t="s">
        <v>262</v>
      </c>
      <c r="E51" s="177">
        <v>1</v>
      </c>
      <c r="F51" s="329">
        <v>8064.33</v>
      </c>
      <c r="G51" s="330"/>
      <c r="H51" s="1"/>
      <c r="I51" s="1"/>
    </row>
    <row r="52" spans="1:9" s="3" customFormat="1" ht="13.5" customHeight="1" x14ac:dyDescent="0.25">
      <c r="A52" s="9" t="s">
        <v>135</v>
      </c>
      <c r="B52" s="298" t="s">
        <v>336</v>
      </c>
      <c r="C52" s="299"/>
      <c r="D52" s="177" t="s">
        <v>295</v>
      </c>
      <c r="E52" s="177">
        <v>3.32</v>
      </c>
      <c r="F52" s="329">
        <v>18179.64</v>
      </c>
      <c r="G52" s="330"/>
      <c r="H52" s="1"/>
      <c r="I52" s="1"/>
    </row>
    <row r="53" spans="1:9" s="3" customFormat="1" ht="13.5" customHeight="1" x14ac:dyDescent="0.25">
      <c r="A53" s="9" t="s">
        <v>174</v>
      </c>
      <c r="B53" s="298" t="s">
        <v>337</v>
      </c>
      <c r="C53" s="299"/>
      <c r="D53" s="177"/>
      <c r="E53" s="177"/>
      <c r="F53" s="329">
        <v>7355.84</v>
      </c>
      <c r="G53" s="330"/>
      <c r="H53" s="1"/>
      <c r="I53" s="1"/>
    </row>
    <row r="54" spans="1:9" s="3" customFormat="1" x14ac:dyDescent="0.25">
      <c r="A54" s="9" t="s">
        <v>198</v>
      </c>
      <c r="B54" s="149" t="s">
        <v>533</v>
      </c>
      <c r="C54" s="150"/>
      <c r="D54" s="177"/>
      <c r="E54" s="177"/>
      <c r="F54" s="315">
        <f>E27*1%</f>
        <v>1165.3144</v>
      </c>
      <c r="G54" s="315"/>
      <c r="H54" s="1"/>
      <c r="I54" s="1"/>
    </row>
    <row r="55" spans="1:9" s="3" customFormat="1" ht="12.75" customHeight="1" x14ac:dyDescent="0.25"/>
    <row r="56" spans="1:9" s="3" customFormat="1" x14ac:dyDescent="0.25">
      <c r="A56" s="3" t="s">
        <v>55</v>
      </c>
      <c r="C56" s="3" t="s">
        <v>49</v>
      </c>
      <c r="F56" s="3" t="s">
        <v>102</v>
      </c>
    </row>
    <row r="57" spans="1:9" s="3" customFormat="1" x14ac:dyDescent="0.25">
      <c r="F57" s="4" t="s">
        <v>265</v>
      </c>
    </row>
    <row r="58" spans="1:9" x14ac:dyDescent="0.25">
      <c r="A58" s="3" t="s">
        <v>50</v>
      </c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14" t="s">
        <v>51</v>
      </c>
      <c r="D59" s="3"/>
      <c r="E59" s="14"/>
      <c r="F59" s="14"/>
      <c r="G59" s="14"/>
      <c r="H59" s="3"/>
      <c r="I59" s="3"/>
    </row>
  </sheetData>
  <mergeCells count="37">
    <mergeCell ref="B50:C50"/>
    <mergeCell ref="F50:G50"/>
    <mergeCell ref="F54:G54"/>
    <mergeCell ref="B51:C51"/>
    <mergeCell ref="F51:G51"/>
    <mergeCell ref="B52:C52"/>
    <mergeCell ref="F52:G52"/>
    <mergeCell ref="B53:C53"/>
    <mergeCell ref="F53:G53"/>
    <mergeCell ref="B46:C46"/>
    <mergeCell ref="B47:C47"/>
    <mergeCell ref="B48:C48"/>
    <mergeCell ref="F48:G48"/>
    <mergeCell ref="B49:C49"/>
    <mergeCell ref="F49:G49"/>
    <mergeCell ref="F46:G46"/>
    <mergeCell ref="F47:G47"/>
    <mergeCell ref="A12:I12"/>
    <mergeCell ref="A39:I39"/>
    <mergeCell ref="F41:G41"/>
    <mergeCell ref="A11:I11"/>
    <mergeCell ref="A13:C13"/>
    <mergeCell ref="A34:C34"/>
    <mergeCell ref="B41:C41"/>
    <mergeCell ref="A1:I1"/>
    <mergeCell ref="A2:I2"/>
    <mergeCell ref="A5:I5"/>
    <mergeCell ref="A10:I10"/>
    <mergeCell ref="A3:K3"/>
    <mergeCell ref="F42:G42"/>
    <mergeCell ref="F43:G43"/>
    <mergeCell ref="F45:G45"/>
    <mergeCell ref="F44:G44"/>
    <mergeCell ref="B42:C42"/>
    <mergeCell ref="B43:C43"/>
    <mergeCell ref="B44:C44"/>
    <mergeCell ref="B45:C45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4.7109375" style="1" customWidth="1"/>
    <col min="2" max="2" width="49.28515625" style="1" customWidth="1"/>
    <col min="3" max="3" width="13.140625" style="1" customWidth="1"/>
    <col min="4" max="4" width="12.85546875" style="1" customWidth="1"/>
    <col min="5" max="5" width="13.140625" style="1" customWidth="1"/>
    <col min="6" max="6" width="12.8554687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1" width="9.140625" style="1" hidden="1" customWidth="1" outlineLevel="1"/>
    <col min="12" max="12" width="0.710937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2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26" t="s">
        <v>140</v>
      </c>
    </row>
    <row r="8" spans="1:11" s="3" customFormat="1" x14ac:dyDescent="0.25">
      <c r="A8" s="3" t="s">
        <v>3</v>
      </c>
      <c r="F8" s="4" t="s">
        <v>94</v>
      </c>
    </row>
    <row r="9" spans="1:11" s="3" customFormat="1" ht="5.2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885031.45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28703.17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-182391.94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8.83</v>
      </c>
      <c r="D19" s="165">
        <v>497655.24</v>
      </c>
      <c r="E19" s="165">
        <v>474427.48</v>
      </c>
      <c r="F19" s="165">
        <f>D19</f>
        <v>497655.24</v>
      </c>
      <c r="G19" s="166">
        <f t="shared" ref="G19:G28" si="0">E19-D19</f>
        <v>-23227.760000000009</v>
      </c>
      <c r="H19" s="162">
        <f>C19</f>
        <v>8.83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173587.5582332956</v>
      </c>
      <c r="E20" s="67">
        <f>E19*I20</f>
        <v>165485.46301245753</v>
      </c>
      <c r="F20" s="67">
        <f>D20</f>
        <v>173587.5582332956</v>
      </c>
      <c r="G20" s="68">
        <f t="shared" si="0"/>
        <v>-8102.0952208380622</v>
      </c>
      <c r="H20" s="162">
        <f t="shared" ref="H20:H23" si="1">C20</f>
        <v>3.08</v>
      </c>
      <c r="I20" s="15">
        <f>H20/H19</f>
        <v>0.34881087202718009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82848.607338618342</v>
      </c>
      <c r="E21" s="67">
        <f>E19*I21</f>
        <v>78981.698255945637</v>
      </c>
      <c r="F21" s="67">
        <f>D21</f>
        <v>82848.607338618342</v>
      </c>
      <c r="G21" s="68">
        <f t="shared" si="0"/>
        <v>-3866.9090826727042</v>
      </c>
      <c r="H21" s="162">
        <f t="shared" si="1"/>
        <v>1.47</v>
      </c>
      <c r="I21" s="15">
        <f>H21/H19</f>
        <v>0.16647791619479049</v>
      </c>
    </row>
    <row r="22" spans="1:9" s="3" customFormat="1" x14ac:dyDescent="0.25">
      <c r="A22" s="8" t="s">
        <v>20</v>
      </c>
      <c r="B22" s="9" t="s">
        <v>21</v>
      </c>
      <c r="C22" s="157">
        <v>1.68</v>
      </c>
      <c r="D22" s="67">
        <f>D19*I22</f>
        <v>94684.122672706668</v>
      </c>
      <c r="E22" s="67">
        <f>E19*I22</f>
        <v>90264.798006795012</v>
      </c>
      <c r="F22" s="67">
        <f>D22</f>
        <v>94684.122672706668</v>
      </c>
      <c r="G22" s="68">
        <f t="shared" si="0"/>
        <v>-4419.3246659116558</v>
      </c>
      <c r="H22" s="162">
        <f t="shared" si="1"/>
        <v>1.68</v>
      </c>
      <c r="I22" s="15">
        <f>H22/H19</f>
        <v>0.19026047565118911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146534.95175537938</v>
      </c>
      <c r="E23" s="67">
        <f>E19*I23</f>
        <v>139695.52072480181</v>
      </c>
      <c r="F23" s="67">
        <f>D23</f>
        <v>146534.95175537938</v>
      </c>
      <c r="G23" s="68">
        <f t="shared" si="0"/>
        <v>-6839.4310305775725</v>
      </c>
      <c r="H23" s="162">
        <f t="shared" si="1"/>
        <v>2.6</v>
      </c>
      <c r="I23" s="15">
        <f>H23/H19</f>
        <v>0.29445073612684031</v>
      </c>
    </row>
    <row r="24" spans="1:9" x14ac:dyDescent="0.25">
      <c r="A24" s="137" t="s">
        <v>25</v>
      </c>
      <c r="B24" s="170" t="s">
        <v>320</v>
      </c>
      <c r="C24" s="201">
        <v>3.43</v>
      </c>
      <c r="D24" s="166">
        <v>193354.56</v>
      </c>
      <c r="E24" s="166">
        <v>186499.56</v>
      </c>
      <c r="F24" s="166">
        <v>0</v>
      </c>
      <c r="G24" s="166">
        <f>E24-D24</f>
        <v>-6855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259307.51999999999</v>
      </c>
      <c r="E25" s="166">
        <v>249407.32</v>
      </c>
      <c r="F25" s="166">
        <f>D25</f>
        <v>259307.51999999999</v>
      </c>
      <c r="G25" s="166">
        <f t="shared" si="0"/>
        <v>-9900.1999999999825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x14ac:dyDescent="0.25">
      <c r="A27" s="137" t="s">
        <v>31</v>
      </c>
      <c r="B27" s="170" t="s">
        <v>132</v>
      </c>
      <c r="C27" s="180">
        <v>1.82</v>
      </c>
      <c r="D27" s="166">
        <v>102553.8</v>
      </c>
      <c r="E27" s="166">
        <v>99766.76</v>
      </c>
      <c r="F27" s="172">
        <f>F42</f>
        <v>5995.6976000000004</v>
      </c>
      <c r="G27" s="166">
        <f t="shared" si="0"/>
        <v>-2787.0400000000081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689.89</v>
      </c>
      <c r="F28" s="172">
        <v>0</v>
      </c>
      <c r="G28" s="166">
        <f t="shared" si="0"/>
        <v>689.89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3362619.93</v>
      </c>
      <c r="E29" s="166">
        <f>SUM(E30:E33)</f>
        <v>3204667.74</v>
      </c>
      <c r="F29" s="166">
        <f>SUM(F30:F33)</f>
        <v>3362619.93</v>
      </c>
      <c r="G29" s="166">
        <f>SUM(G30:G33)</f>
        <v>-157952.19000000006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95623.2</v>
      </c>
      <c r="E30" s="68">
        <v>91826.46</v>
      </c>
      <c r="F30" s="68">
        <f>D30</f>
        <v>95623.2</v>
      </c>
      <c r="G30" s="68">
        <f>E30-D30</f>
        <v>-3796.7399999999907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562386.92000000004</v>
      </c>
      <c r="E31" s="68">
        <v>535993.11</v>
      </c>
      <c r="F31" s="68">
        <f>D31</f>
        <v>562386.92000000004</v>
      </c>
      <c r="G31" s="68">
        <f>E31-D31</f>
        <v>-26393.810000000056</v>
      </c>
    </row>
    <row r="32" spans="1:9" x14ac:dyDescent="0.25">
      <c r="A32" s="9" t="s">
        <v>42</v>
      </c>
      <c r="B32" s="9" t="s">
        <v>40</v>
      </c>
      <c r="C32" s="213" t="s">
        <v>504</v>
      </c>
      <c r="D32" s="68">
        <v>1006507.52</v>
      </c>
      <c r="E32" s="68">
        <v>943525.41</v>
      </c>
      <c r="F32" s="68">
        <f>D32</f>
        <v>1006507.52</v>
      </c>
      <c r="G32" s="68">
        <f>E32-D32</f>
        <v>-62982.109999999986</v>
      </c>
      <c r="H32" s="97"/>
      <c r="I32" s="97"/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1698102.29</v>
      </c>
      <c r="E33" s="68">
        <v>1633322.76</v>
      </c>
      <c r="F33" s="68">
        <f>D33</f>
        <v>1698102.29</v>
      </c>
      <c r="G33" s="68">
        <f>E33-D33</f>
        <v>-64779.530000000028</v>
      </c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1085063.75</v>
      </c>
      <c r="E34" s="39"/>
      <c r="F34" s="39"/>
      <c r="G34" s="39"/>
      <c r="H34" s="22"/>
      <c r="I34" s="22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29393.059999999998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-88620.877600000007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4.7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SUM(F43:G45)</f>
        <v>5995.6976000000004</v>
      </c>
      <c r="G42" s="312"/>
      <c r="H42" s="12"/>
      <c r="I42" s="12"/>
    </row>
    <row r="43" spans="1:10" s="7" customFormat="1" x14ac:dyDescent="0.25">
      <c r="A43" s="224" t="s">
        <v>16</v>
      </c>
      <c r="B43" s="294" t="s">
        <v>338</v>
      </c>
      <c r="C43" s="295"/>
      <c r="D43" s="215" t="s">
        <v>255</v>
      </c>
      <c r="E43" s="226">
        <v>4</v>
      </c>
      <c r="F43" s="338">
        <v>2448.17</v>
      </c>
      <c r="G43" s="339"/>
      <c r="H43" s="12"/>
      <c r="I43" s="12"/>
    </row>
    <row r="44" spans="1:10" s="7" customFormat="1" x14ac:dyDescent="0.25">
      <c r="A44" s="224" t="s">
        <v>18</v>
      </c>
      <c r="B44" s="294" t="s">
        <v>339</v>
      </c>
      <c r="C44" s="295"/>
      <c r="D44" s="215" t="s">
        <v>262</v>
      </c>
      <c r="E44" s="226">
        <v>1</v>
      </c>
      <c r="F44" s="338">
        <v>2549.86</v>
      </c>
      <c r="G44" s="339"/>
      <c r="H44" s="12"/>
      <c r="I44" s="12"/>
    </row>
    <row r="45" spans="1:10" x14ac:dyDescent="0.25">
      <c r="A45" s="28" t="s">
        <v>20</v>
      </c>
      <c r="B45" s="149" t="s">
        <v>533</v>
      </c>
      <c r="C45" s="150"/>
      <c r="D45" s="177"/>
      <c r="E45" s="177"/>
      <c r="F45" s="342">
        <f>E27*1%</f>
        <v>997.66759999999999</v>
      </c>
      <c r="G45" s="342"/>
    </row>
    <row r="46" spans="1:10" s="3" customFormat="1" x14ac:dyDescent="0.25"/>
    <row r="47" spans="1:10" s="3" customFormat="1" ht="13.5" customHeight="1" x14ac:dyDescent="0.25">
      <c r="A47" s="3" t="s">
        <v>55</v>
      </c>
      <c r="C47" s="3" t="s">
        <v>49</v>
      </c>
      <c r="F47" s="3" t="s">
        <v>102</v>
      </c>
    </row>
    <row r="48" spans="1:10" s="3" customFormat="1" ht="13.5" customHeight="1" x14ac:dyDescent="0.25">
      <c r="F48" s="4" t="s">
        <v>265</v>
      </c>
    </row>
    <row r="49" spans="1:7" s="3" customFormat="1" ht="11.25" customHeight="1" x14ac:dyDescent="0.25">
      <c r="A49" s="3" t="s">
        <v>50</v>
      </c>
    </row>
    <row r="50" spans="1:7" s="3" customFormat="1" x14ac:dyDescent="0.25">
      <c r="C50" s="14" t="s">
        <v>51</v>
      </c>
      <c r="E50" s="14"/>
      <c r="F50" s="14"/>
      <c r="G50" s="14"/>
    </row>
    <row r="51" spans="1:7" s="3" customFormat="1" x14ac:dyDescent="0.25"/>
  </sheetData>
  <mergeCells count="19">
    <mergeCell ref="F45:G45"/>
    <mergeCell ref="A1:I1"/>
    <mergeCell ref="A2:I2"/>
    <mergeCell ref="A5:I5"/>
    <mergeCell ref="A10:I10"/>
    <mergeCell ref="A3:K3"/>
    <mergeCell ref="A34:C34"/>
    <mergeCell ref="A39:I39"/>
    <mergeCell ref="F42:G42"/>
    <mergeCell ref="A13:C13"/>
    <mergeCell ref="A11:I11"/>
    <mergeCell ref="A12:I12"/>
    <mergeCell ref="B41:C41"/>
    <mergeCell ref="F41:G41"/>
    <mergeCell ref="B42:C42"/>
    <mergeCell ref="F43:G43"/>
    <mergeCell ref="F44:G44"/>
    <mergeCell ref="B43:C43"/>
    <mergeCell ref="B44:C44"/>
  </mergeCells>
  <phoneticPr fontId="18" type="noConversion"/>
  <pageMargins left="0" right="0" top="0" bottom="0" header="0.31496062992125984" footer="0.31496062992125984"/>
  <pageSetup paperSize="9" scale="98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F43" sqref="F43:G43"/>
    </sheetView>
  </sheetViews>
  <sheetFormatPr defaultRowHeight="15" outlineLevelCol="1" x14ac:dyDescent="0.25"/>
  <cols>
    <col min="1" max="1" width="4.7109375" style="1" customWidth="1"/>
    <col min="2" max="2" width="48.42578125" style="1" customWidth="1"/>
    <col min="3" max="3" width="13.140625" style="1" customWidth="1"/>
    <col min="4" max="4" width="13.7109375" style="1" customWidth="1"/>
    <col min="5" max="5" width="12.7109375" style="1" customWidth="1"/>
    <col min="6" max="6" width="11.8554687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4.2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5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7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4.5" customHeight="1" x14ac:dyDescent="0.25"/>
    <row r="7" spans="1:11" s="3" customFormat="1" ht="16.5" customHeight="1" x14ac:dyDescent="0.25">
      <c r="A7" s="3" t="s">
        <v>2</v>
      </c>
      <c r="F7" s="4" t="s">
        <v>95</v>
      </c>
    </row>
    <row r="8" spans="1:11" s="3" customFormat="1" x14ac:dyDescent="0.25">
      <c r="A8" s="3" t="s">
        <v>3</v>
      </c>
      <c r="F8" s="4" t="s">
        <v>192</v>
      </c>
    </row>
    <row r="9" spans="1:11" s="3" customFormat="1" ht="4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36047.79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-7051.42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-101364.72</v>
      </c>
      <c r="H16" s="40"/>
      <c r="I16" s="40"/>
    </row>
    <row r="17" spans="1:16" s="3" customFormat="1" ht="6.75" customHeight="1" x14ac:dyDescent="0.25"/>
    <row r="18" spans="1:16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16" s="3" customForma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162956.98000000001</v>
      </c>
      <c r="E19" s="165">
        <v>160382.79999999999</v>
      </c>
      <c r="F19" s="165">
        <f t="shared" ref="F19:F26" si="0">D19</f>
        <v>162956.98000000001</v>
      </c>
      <c r="G19" s="166">
        <f t="shared" ref="G19:G28" si="1">E19-D19</f>
        <v>-2574.1800000000221</v>
      </c>
      <c r="H19" s="71">
        <f>C19</f>
        <v>8.5500000000000007</v>
      </c>
      <c r="I19" s="15"/>
      <c r="P19" s="65"/>
    </row>
    <row r="20" spans="1:16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58702.631391812865</v>
      </c>
      <c r="E20" s="67">
        <f>E19*I20</f>
        <v>57775.324444444435</v>
      </c>
      <c r="F20" s="67">
        <f t="shared" si="0"/>
        <v>58702.631391812865</v>
      </c>
      <c r="G20" s="68">
        <f t="shared" si="1"/>
        <v>-927.30694736842997</v>
      </c>
      <c r="H20" s="71">
        <f t="shared" ref="H20:H23" si="2">C20</f>
        <v>3.08</v>
      </c>
      <c r="I20" s="15">
        <f>H20/H19</f>
        <v>0.36023391812865496</v>
      </c>
    </row>
    <row r="21" spans="1:16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28779.536818713448</v>
      </c>
      <c r="E21" s="67">
        <f>E19*I21</f>
        <v>28324.915555555552</v>
      </c>
      <c r="F21" s="67">
        <f t="shared" si="0"/>
        <v>28779.536818713448</v>
      </c>
      <c r="G21" s="68">
        <f t="shared" si="1"/>
        <v>-454.62126315789646</v>
      </c>
      <c r="H21" s="71">
        <f t="shared" si="2"/>
        <v>1.51</v>
      </c>
      <c r="I21" s="15">
        <f>H21/H19</f>
        <v>0.17660818713450291</v>
      </c>
    </row>
    <row r="22" spans="1:16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25920.642432748537</v>
      </c>
      <c r="E22" s="67">
        <f>E19*I22</f>
        <v>25511.182222222218</v>
      </c>
      <c r="F22" s="67">
        <f t="shared" si="0"/>
        <v>25920.642432748537</v>
      </c>
      <c r="G22" s="68">
        <f t="shared" si="1"/>
        <v>-409.46021052631841</v>
      </c>
      <c r="H22" s="71">
        <f t="shared" si="2"/>
        <v>1.36</v>
      </c>
      <c r="I22" s="15">
        <f>H22/H19</f>
        <v>0.1590643274853801</v>
      </c>
    </row>
    <row r="23" spans="1:16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49554.16935672515</v>
      </c>
      <c r="E23" s="67">
        <f>E19*I23</f>
        <v>48771.377777777772</v>
      </c>
      <c r="F23" s="67">
        <f t="shared" si="0"/>
        <v>49554.16935672515</v>
      </c>
      <c r="G23" s="68">
        <f t="shared" si="1"/>
        <v>-782.79157894737727</v>
      </c>
      <c r="H23" s="71">
        <f t="shared" si="2"/>
        <v>2.6</v>
      </c>
      <c r="I23" s="15">
        <f>H23/H19</f>
        <v>0.30409356725146197</v>
      </c>
    </row>
    <row r="24" spans="1:16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16" x14ac:dyDescent="0.25">
      <c r="A25" s="137" t="s">
        <v>27</v>
      </c>
      <c r="B25" s="170" t="s">
        <v>28</v>
      </c>
      <c r="C25" s="201">
        <v>4.5999999999999996</v>
      </c>
      <c r="D25" s="166">
        <v>88262.96</v>
      </c>
      <c r="E25" s="166">
        <v>88784.39</v>
      </c>
      <c r="F25" s="166">
        <f t="shared" si="0"/>
        <v>88262.96</v>
      </c>
      <c r="G25" s="166">
        <f t="shared" si="1"/>
        <v>521.42999999999302</v>
      </c>
    </row>
    <row r="26" spans="1:16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</row>
    <row r="27" spans="1:16" x14ac:dyDescent="0.25">
      <c r="A27" s="137" t="s">
        <v>31</v>
      </c>
      <c r="B27" s="170" t="s">
        <v>132</v>
      </c>
      <c r="C27" s="180">
        <v>1.65</v>
      </c>
      <c r="D27" s="166">
        <v>31448.5</v>
      </c>
      <c r="E27" s="166">
        <v>31056.14</v>
      </c>
      <c r="F27" s="172">
        <f>F42</f>
        <v>310.56139999999999</v>
      </c>
      <c r="G27" s="166">
        <f t="shared" si="1"/>
        <v>-392.36000000000058</v>
      </c>
    </row>
    <row r="28" spans="1:16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1"/>
        <v>0</v>
      </c>
    </row>
    <row r="29" spans="1:16" x14ac:dyDescent="0.25">
      <c r="A29" s="137" t="s">
        <v>35</v>
      </c>
      <c r="B29" s="36" t="s">
        <v>36</v>
      </c>
      <c r="C29" s="201"/>
      <c r="D29" s="166">
        <f>SUM(D30:D33)</f>
        <v>771676.06</v>
      </c>
      <c r="E29" s="166">
        <f>SUM(E30:E33)</f>
        <v>767697.44000000006</v>
      </c>
      <c r="F29" s="166">
        <f>SUM(F30:F33)</f>
        <v>771676.06</v>
      </c>
      <c r="G29" s="166">
        <f>SUM(G30:G33)</f>
        <v>-3978.6200000000049</v>
      </c>
    </row>
    <row r="30" spans="1:16" x14ac:dyDescent="0.25">
      <c r="A30" s="9" t="s">
        <v>37</v>
      </c>
      <c r="B30" s="9" t="s">
        <v>263</v>
      </c>
      <c r="C30" s="152" t="s">
        <v>245</v>
      </c>
      <c r="D30" s="68">
        <v>577967.63</v>
      </c>
      <c r="E30" s="68">
        <v>569069.5</v>
      </c>
      <c r="F30" s="68">
        <f>D30</f>
        <v>577967.63</v>
      </c>
      <c r="G30" s="68">
        <f>E30-D30</f>
        <v>-8898.1300000000047</v>
      </c>
    </row>
    <row r="31" spans="1:16" x14ac:dyDescent="0.25">
      <c r="A31" s="9" t="s">
        <v>39</v>
      </c>
      <c r="B31" s="9" t="s">
        <v>171</v>
      </c>
      <c r="C31" s="152" t="s">
        <v>246</v>
      </c>
      <c r="D31" s="68">
        <v>189766.28</v>
      </c>
      <c r="E31" s="68">
        <v>194745.28</v>
      </c>
      <c r="F31" s="68">
        <f>D31</f>
        <v>189766.28</v>
      </c>
      <c r="G31" s="68">
        <f>E31-D31</f>
        <v>4979</v>
      </c>
    </row>
    <row r="32" spans="1:16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3942.15</v>
      </c>
      <c r="E33" s="68">
        <v>3882.66</v>
      </c>
      <c r="F33" s="68">
        <f>D33</f>
        <v>3942.15</v>
      </c>
      <c r="G33" s="68">
        <f>E33-D33</f>
        <v>-59.490000000000236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42471.519999999902</v>
      </c>
      <c r="E34" s="39"/>
      <c r="F34" s="39"/>
      <c r="G34" s="39"/>
      <c r="H34" s="40"/>
      <c r="I34" s="40"/>
      <c r="J34" s="22"/>
    </row>
    <row r="35" spans="1:10" s="15" customFormat="1" ht="8.2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-7051.42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-70619.141400000008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1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ht="28.5" customHeigh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SUM(F43:L43)</f>
        <v>310.56139999999999</v>
      </c>
      <c r="G42" s="312"/>
      <c r="H42" s="12"/>
      <c r="I42" s="12"/>
    </row>
    <row r="43" spans="1:10" s="12" customFormat="1" ht="13.5" customHeight="1" x14ac:dyDescent="0.25">
      <c r="A43" s="28" t="s">
        <v>18</v>
      </c>
      <c r="B43" s="269" t="s">
        <v>533</v>
      </c>
      <c r="C43" s="270"/>
      <c r="D43" s="177"/>
      <c r="E43" s="177"/>
      <c r="F43" s="342">
        <f>E27*1%</f>
        <v>310.56139999999999</v>
      </c>
      <c r="G43" s="342"/>
      <c r="H43" s="1"/>
      <c r="I43" s="1"/>
    </row>
    <row r="44" spans="1:10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10" ht="13.5" customHeight="1" x14ac:dyDescent="0.25">
      <c r="A45" s="3" t="s">
        <v>55</v>
      </c>
      <c r="B45" s="3"/>
      <c r="C45" s="3" t="s">
        <v>49</v>
      </c>
      <c r="D45" s="3"/>
      <c r="E45" s="3"/>
      <c r="F45" s="3" t="s">
        <v>102</v>
      </c>
      <c r="G45" s="3"/>
      <c r="H45" s="3"/>
      <c r="I45" s="3"/>
    </row>
    <row r="46" spans="1:10" s="48" customFormat="1" ht="13.5" customHeight="1" x14ac:dyDescent="0.25">
      <c r="A46" s="3"/>
      <c r="B46" s="3"/>
      <c r="C46" s="3"/>
      <c r="D46" s="3"/>
      <c r="E46" s="3"/>
      <c r="F46" s="4" t="s">
        <v>265</v>
      </c>
      <c r="G46" s="3"/>
      <c r="H46" s="3"/>
      <c r="I46" s="3"/>
    </row>
    <row r="47" spans="1:10" s="48" customFormat="1" ht="13.5" customHeight="1" x14ac:dyDescent="0.25">
      <c r="A47" s="3" t="s">
        <v>50</v>
      </c>
      <c r="B47" s="3"/>
      <c r="C47" s="3"/>
      <c r="D47" s="3"/>
      <c r="E47" s="3"/>
      <c r="F47" s="3"/>
      <c r="G47" s="3"/>
      <c r="H47" s="3"/>
      <c r="I47" s="3"/>
    </row>
    <row r="48" spans="1:10" s="48" customFormat="1" ht="13.5" customHeight="1" x14ac:dyDescent="0.25">
      <c r="A48" s="3"/>
      <c r="B48" s="3"/>
      <c r="C48" s="14" t="s">
        <v>51</v>
      </c>
      <c r="D48" s="3"/>
      <c r="E48" s="14"/>
      <c r="F48" s="14"/>
      <c r="G48" s="14"/>
      <c r="H48" s="3"/>
      <c r="I48" s="3"/>
    </row>
    <row r="49" spans="2:5" ht="6.75" customHeight="1" x14ac:dyDescent="0.25">
      <c r="B49" s="13"/>
      <c r="C49" s="13"/>
      <c r="D49" s="13"/>
      <c r="E49" s="13"/>
    </row>
    <row r="50" spans="2:5" s="3" customFormat="1" x14ac:dyDescent="0.25"/>
  </sheetData>
  <mergeCells count="15">
    <mergeCell ref="A11:I11"/>
    <mergeCell ref="A1:I1"/>
    <mergeCell ref="A2:I2"/>
    <mergeCell ref="A5:I5"/>
    <mergeCell ref="A10:I10"/>
    <mergeCell ref="A3:K3"/>
    <mergeCell ref="F43:G43"/>
    <mergeCell ref="A12:I12"/>
    <mergeCell ref="F42:G42"/>
    <mergeCell ref="A13:C13"/>
    <mergeCell ref="A34:C34"/>
    <mergeCell ref="A39:I39"/>
    <mergeCell ref="B41:C41"/>
    <mergeCell ref="F41:G41"/>
    <mergeCell ref="B42:C42"/>
  </mergeCells>
  <phoneticPr fontId="18" type="noConversion"/>
  <pageMargins left="0" right="0" top="0" bottom="0" header="0.31496062992125984" footer="0.31496062992125984"/>
  <pageSetup paperSize="9" scale="94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A43" sqref="A43:G43"/>
    </sheetView>
  </sheetViews>
  <sheetFormatPr defaultRowHeight="15" outlineLevelCol="1" x14ac:dyDescent="0.25"/>
  <cols>
    <col min="1" max="1" width="4.7109375" style="1" customWidth="1"/>
    <col min="2" max="2" width="48.140625" style="1" customWidth="1"/>
    <col min="3" max="3" width="13" style="1" customWidth="1"/>
    <col min="4" max="4" width="13.140625" style="1" customWidth="1"/>
    <col min="5" max="5" width="11.5703125" style="1" customWidth="1"/>
    <col min="6" max="6" width="13.140625" style="1" customWidth="1"/>
    <col min="7" max="7" width="13.855468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7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6" customHeight="1" x14ac:dyDescent="0.25"/>
    <row r="7" spans="1:11" s="3" customFormat="1" ht="16.5" customHeight="1" x14ac:dyDescent="0.25">
      <c r="A7" s="3" t="s">
        <v>2</v>
      </c>
      <c r="F7" s="4" t="s">
        <v>96</v>
      </c>
    </row>
    <row r="8" spans="1:11" s="3" customFormat="1" x14ac:dyDescent="0.25">
      <c r="A8" s="3" t="s">
        <v>3</v>
      </c>
      <c r="F8" s="4" t="s">
        <v>97</v>
      </c>
    </row>
    <row r="9" spans="1:11" s="3" customFormat="1" ht="4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481161.86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13836.37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-72307.3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201156.06</v>
      </c>
      <c r="E19" s="165">
        <v>189998.53</v>
      </c>
      <c r="F19" s="165">
        <f t="shared" ref="F19:F26" si="0">D19</f>
        <v>201156.06</v>
      </c>
      <c r="G19" s="166">
        <f t="shared" ref="G19:G28" si="1">E19-D19</f>
        <v>-11157.529999999999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72463.235649122798</v>
      </c>
      <c r="E20" s="67">
        <f>E19*I20</f>
        <v>68443.914900584787</v>
      </c>
      <c r="F20" s="67">
        <f t="shared" si="0"/>
        <v>72463.235649122798</v>
      </c>
      <c r="G20" s="68">
        <f t="shared" si="1"/>
        <v>-4019.3207485380117</v>
      </c>
      <c r="H20" s="71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35525.807087719295</v>
      </c>
      <c r="E21" s="67">
        <f>E19*I21</f>
        <v>33555.295941520468</v>
      </c>
      <c r="F21" s="67">
        <f t="shared" si="0"/>
        <v>35525.807087719295</v>
      </c>
      <c r="G21" s="68">
        <f t="shared" si="1"/>
        <v>-1970.5111461988272</v>
      </c>
      <c r="H21" s="71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31996.75340350877</v>
      </c>
      <c r="E22" s="67">
        <f>E19*I22</f>
        <v>30221.988397660814</v>
      </c>
      <c r="F22" s="67">
        <f t="shared" si="0"/>
        <v>31996.75340350877</v>
      </c>
      <c r="G22" s="68">
        <f t="shared" si="1"/>
        <v>-1774.7650058479558</v>
      </c>
      <c r="H22" s="71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61170.263859649116</v>
      </c>
      <c r="E23" s="67">
        <f>E19*I23</f>
        <v>57777.330760233912</v>
      </c>
      <c r="F23" s="67">
        <f t="shared" si="0"/>
        <v>61170.263859649116</v>
      </c>
      <c r="G23" s="68">
        <f t="shared" si="1"/>
        <v>-3392.9330994152042</v>
      </c>
      <c r="H23" s="71">
        <f t="shared" si="2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108223.74</v>
      </c>
      <c r="E25" s="166">
        <v>101421.04</v>
      </c>
      <c r="F25" s="166">
        <f t="shared" si="0"/>
        <v>108223.74</v>
      </c>
      <c r="G25" s="166">
        <f t="shared" si="1"/>
        <v>-6802.7000000000116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38820.449999999997</v>
      </c>
      <c r="E27" s="166">
        <v>38017.53</v>
      </c>
      <c r="F27" s="172">
        <f>F42</f>
        <v>678.17529999999999</v>
      </c>
      <c r="G27" s="166">
        <f t="shared" si="1"/>
        <v>-802.91999999999825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1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1014936</v>
      </c>
      <c r="E29" s="166">
        <f>SUM(E30:E33)</f>
        <v>931744.8600000001</v>
      </c>
      <c r="F29" s="166">
        <f>SUM(F30:F33)</f>
        <v>1014936</v>
      </c>
      <c r="G29" s="166">
        <f>SUM(G30:G33)</f>
        <v>-83191.139999999956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12677.52</v>
      </c>
      <c r="E30" s="68">
        <v>11982.84</v>
      </c>
      <c r="F30" s="68">
        <f>D30</f>
        <v>12677.52</v>
      </c>
      <c r="G30" s="68">
        <f>E30-D30</f>
        <v>-694.68000000000029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293453.77</v>
      </c>
      <c r="E31" s="68">
        <v>256689.87</v>
      </c>
      <c r="F31" s="68">
        <f>D31</f>
        <v>293453.77</v>
      </c>
      <c r="G31" s="68">
        <f>E31-D31</f>
        <v>-36763.900000000023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708804.71</v>
      </c>
      <c r="E33" s="68">
        <v>663072.15</v>
      </c>
      <c r="F33" s="68">
        <f>D33</f>
        <v>708804.71</v>
      </c>
      <c r="G33" s="68">
        <f>E33-D33</f>
        <v>-45732.559999999939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583116.14999999967</v>
      </c>
      <c r="E34" s="39"/>
      <c r="F34" s="39"/>
      <c r="G34" s="39"/>
      <c r="H34" s="40"/>
      <c r="I34" s="40"/>
      <c r="J34" s="22"/>
    </row>
    <row r="35" spans="1:10" s="15" customFormat="1" ht="7.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13836.37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-34967.945300000007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1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SUM(F43:G44)</f>
        <v>678.17529999999999</v>
      </c>
      <c r="G42" s="312"/>
      <c r="H42" s="12"/>
      <c r="I42" s="12"/>
    </row>
    <row r="43" spans="1:10" s="7" customFormat="1" x14ac:dyDescent="0.25">
      <c r="A43" s="28" t="s">
        <v>16</v>
      </c>
      <c r="B43" s="294" t="s">
        <v>272</v>
      </c>
      <c r="C43" s="295"/>
      <c r="D43" s="215" t="s">
        <v>262</v>
      </c>
      <c r="E43" s="215">
        <v>2</v>
      </c>
      <c r="F43" s="347">
        <v>298</v>
      </c>
      <c r="G43" s="348"/>
      <c r="H43" s="12"/>
      <c r="I43" s="12"/>
    </row>
    <row r="44" spans="1:10" s="12" customFormat="1" ht="13.5" customHeight="1" x14ac:dyDescent="0.25">
      <c r="A44" s="28" t="s">
        <v>18</v>
      </c>
      <c r="B44" s="149" t="s">
        <v>533</v>
      </c>
      <c r="C44" s="150"/>
      <c r="D44" s="177"/>
      <c r="E44" s="177"/>
      <c r="F44" s="342">
        <f>E27*1%</f>
        <v>380.17529999999999</v>
      </c>
      <c r="G44" s="342"/>
      <c r="H44" s="1"/>
      <c r="I44" s="1"/>
    </row>
    <row r="45" spans="1:10" ht="13.5" customHeight="1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10" ht="13.5" customHeight="1" x14ac:dyDescent="0.25">
      <c r="A46" s="3" t="s">
        <v>55</v>
      </c>
      <c r="B46" s="3"/>
      <c r="C46" s="3" t="s">
        <v>49</v>
      </c>
      <c r="D46" s="3"/>
      <c r="E46" s="3"/>
      <c r="F46" s="3" t="s">
        <v>102</v>
      </c>
      <c r="G46" s="3"/>
      <c r="H46" s="3"/>
      <c r="I46" s="3"/>
    </row>
    <row r="47" spans="1:10" ht="13.5" customHeight="1" x14ac:dyDescent="0.25">
      <c r="A47" s="3"/>
      <c r="B47" s="3"/>
      <c r="C47" s="3"/>
      <c r="D47" s="3"/>
      <c r="E47" s="3"/>
      <c r="F47" s="4" t="s">
        <v>265</v>
      </c>
      <c r="G47" s="3"/>
      <c r="H47" s="3"/>
      <c r="I47" s="3"/>
    </row>
    <row r="48" spans="1:10" ht="13.5" customHeight="1" x14ac:dyDescent="0.25">
      <c r="A48" s="3" t="s">
        <v>50</v>
      </c>
      <c r="B48" s="3"/>
      <c r="C48" s="3"/>
      <c r="D48" s="3"/>
      <c r="E48" s="3"/>
      <c r="F48" s="3"/>
      <c r="G48" s="3"/>
      <c r="H48" s="3"/>
      <c r="I48" s="3"/>
    </row>
    <row r="49" spans="1:9" s="3" customFormat="1" x14ac:dyDescent="0.25">
      <c r="C49" s="14" t="s">
        <v>51</v>
      </c>
      <c r="E49" s="14"/>
      <c r="F49" s="14"/>
      <c r="G49" s="14"/>
    </row>
    <row r="50" spans="1:9" s="3" customFormat="1" x14ac:dyDescent="0.25">
      <c r="A50" s="1"/>
      <c r="B50" s="13"/>
      <c r="C50" s="13"/>
      <c r="D50" s="13"/>
      <c r="E50" s="13"/>
      <c r="F50" s="1"/>
      <c r="G50" s="1"/>
      <c r="H50" s="1"/>
      <c r="I50" s="1"/>
    </row>
    <row r="51" spans="1:9" s="3" customFormat="1" ht="13.5" customHeight="1" x14ac:dyDescent="0.25"/>
  </sheetData>
  <mergeCells count="17">
    <mergeCell ref="B42:C42"/>
    <mergeCell ref="B43:C43"/>
    <mergeCell ref="F43:G43"/>
    <mergeCell ref="F44:G44"/>
    <mergeCell ref="A1:I1"/>
    <mergeCell ref="A2:I2"/>
    <mergeCell ref="A5:I5"/>
    <mergeCell ref="A10:I10"/>
    <mergeCell ref="A3:K3"/>
    <mergeCell ref="A11:I11"/>
    <mergeCell ref="A12:I12"/>
    <mergeCell ref="A13:C13"/>
    <mergeCell ref="F42:G42"/>
    <mergeCell ref="A34:C34"/>
    <mergeCell ref="A39:I39"/>
    <mergeCell ref="B41:C41"/>
    <mergeCell ref="F41:G41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6" workbookViewId="0">
      <selection activeCell="M47" sqref="M47"/>
    </sheetView>
  </sheetViews>
  <sheetFormatPr defaultRowHeight="12.75" outlineLevelCol="1" x14ac:dyDescent="0.2"/>
  <cols>
    <col min="1" max="1" width="3.5703125" style="23" customWidth="1"/>
    <col min="2" max="2" width="24.85546875" style="23" customWidth="1"/>
    <col min="3" max="3" width="8" style="23" customWidth="1"/>
    <col min="4" max="4" width="10.140625" style="23" customWidth="1"/>
    <col min="5" max="5" width="10.85546875" style="23" customWidth="1"/>
    <col min="6" max="6" width="10.5703125" style="23" customWidth="1"/>
    <col min="7" max="7" width="11.28515625" style="23" customWidth="1"/>
    <col min="8" max="8" width="10.140625" style="23" customWidth="1"/>
    <col min="9" max="9" width="10.42578125" style="23" customWidth="1"/>
    <col min="10" max="11" width="9.140625" style="23" hidden="1" customWidth="1" outlineLevel="1"/>
    <col min="12" max="12" width="9.140625" style="23" collapsed="1"/>
    <col min="13" max="16384" width="9.140625" style="23"/>
  </cols>
  <sheetData>
    <row r="1" spans="1:9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2">
      <c r="A3" s="293" t="s">
        <v>108</v>
      </c>
      <c r="B3" s="293"/>
      <c r="C3" s="293"/>
      <c r="D3" s="293"/>
      <c r="E3" s="293"/>
      <c r="F3" s="293"/>
      <c r="G3" s="293"/>
      <c r="H3" s="293"/>
      <c r="I3" s="293"/>
    </row>
    <row r="4" spans="1:9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</row>
    <row r="7" spans="1:9" s="25" customFormat="1" x14ac:dyDescent="0.2">
      <c r="A7" s="25" t="s">
        <v>2</v>
      </c>
      <c r="F7" s="26" t="s">
        <v>53</v>
      </c>
    </row>
    <row r="8" spans="1:9" s="25" customFormat="1" x14ac:dyDescent="0.2">
      <c r="A8" s="25" t="s">
        <v>3</v>
      </c>
      <c r="F8" s="26" t="s">
        <v>54</v>
      </c>
    </row>
    <row r="9" spans="1:9" s="25" customFormat="1" x14ac:dyDescent="0.2">
      <c r="A9" s="25" t="s">
        <v>4</v>
      </c>
    </row>
    <row r="10" spans="1:9" s="25" customFormat="1" x14ac:dyDescent="0.2">
      <c r="A10" s="25" t="s">
        <v>5</v>
      </c>
      <c r="F10" s="26" t="s">
        <v>6</v>
      </c>
    </row>
    <row r="11" spans="1:9" s="25" customFormat="1" x14ac:dyDescent="0.2">
      <c r="A11" s="25" t="s">
        <v>7</v>
      </c>
      <c r="F11" s="26" t="s">
        <v>6</v>
      </c>
    </row>
    <row r="12" spans="1:9" s="25" customFormat="1" x14ac:dyDescent="0.2"/>
    <row r="13" spans="1:9" s="25" customFormat="1" x14ac:dyDescent="0.2">
      <c r="A13" s="286" t="s">
        <v>8</v>
      </c>
      <c r="B13" s="286"/>
      <c r="C13" s="286"/>
      <c r="D13" s="286"/>
      <c r="E13" s="286"/>
      <c r="F13" s="286"/>
      <c r="G13" s="286"/>
      <c r="H13" s="286"/>
      <c r="I13" s="286"/>
    </row>
    <row r="14" spans="1:9" s="25" customFormat="1" x14ac:dyDescent="0.2">
      <c r="A14" s="286" t="s">
        <v>9</v>
      </c>
      <c r="B14" s="286"/>
      <c r="C14" s="286"/>
      <c r="D14" s="286"/>
      <c r="E14" s="286"/>
      <c r="F14" s="286"/>
      <c r="G14" s="286"/>
      <c r="H14" s="286"/>
      <c r="I14" s="286"/>
    </row>
    <row r="15" spans="1:9" s="25" customFormat="1" x14ac:dyDescent="0.2">
      <c r="A15" s="286" t="s">
        <v>10</v>
      </c>
      <c r="B15" s="286"/>
      <c r="C15" s="286"/>
      <c r="D15" s="286"/>
      <c r="E15" s="286"/>
      <c r="F15" s="286"/>
      <c r="G15" s="286"/>
      <c r="H15" s="286"/>
      <c r="I15" s="286"/>
    </row>
    <row r="16" spans="1:9" s="25" customFormat="1" x14ac:dyDescent="0.2"/>
    <row r="17" spans="1:11" s="18" customFormat="1" ht="51" x14ac:dyDescent="0.25">
      <c r="A17" s="6" t="s">
        <v>11</v>
      </c>
      <c r="B17" s="6" t="s">
        <v>12</v>
      </c>
      <c r="C17" s="6" t="s">
        <v>103</v>
      </c>
      <c r="D17" s="6" t="s">
        <v>13</v>
      </c>
      <c r="E17" s="6" t="s">
        <v>98</v>
      </c>
      <c r="F17" s="6" t="s">
        <v>99</v>
      </c>
      <c r="G17" s="17" t="s">
        <v>100</v>
      </c>
      <c r="H17" s="6" t="s">
        <v>101</v>
      </c>
      <c r="I17" s="6" t="s">
        <v>114</v>
      </c>
    </row>
    <row r="18" spans="1:11" s="25" customFormat="1" ht="25.5" x14ac:dyDescent="0.2">
      <c r="A18" s="27" t="s">
        <v>14</v>
      </c>
      <c r="B18" s="28" t="s">
        <v>15</v>
      </c>
      <c r="C18" s="29">
        <v>6.75</v>
      </c>
      <c r="D18" s="27">
        <v>-25096.32</v>
      </c>
      <c r="E18" s="27">
        <v>174103.45</v>
      </c>
      <c r="F18" s="30">
        <v>169317.59</v>
      </c>
      <c r="G18" s="30">
        <f>E18</f>
        <v>174103.45</v>
      </c>
      <c r="H18" s="31">
        <f t="shared" ref="H18:H33" si="0">D18+F18-G18</f>
        <v>-29882.180000000022</v>
      </c>
      <c r="I18" s="31">
        <f t="shared" ref="I18:I33" si="1">F18-E18</f>
        <v>-4785.8600000000151</v>
      </c>
      <c r="J18" s="32">
        <v>6.75</v>
      </c>
      <c r="K18" s="32"/>
    </row>
    <row r="19" spans="1:11" s="25" customFormat="1" ht="25.5" x14ac:dyDescent="0.2">
      <c r="A19" s="27" t="s">
        <v>16</v>
      </c>
      <c r="B19" s="28" t="s">
        <v>17</v>
      </c>
      <c r="C19" s="29">
        <v>2.41</v>
      </c>
      <c r="D19" s="30">
        <v>-8687.19</v>
      </c>
      <c r="E19" s="30">
        <f>E18*K19</f>
        <v>62161.379925925932</v>
      </c>
      <c r="F19" s="30">
        <f>F18*K19</f>
        <v>60452.650651851851</v>
      </c>
      <c r="G19" s="30">
        <f>E19</f>
        <v>62161.379925925932</v>
      </c>
      <c r="H19" s="31">
        <f t="shared" si="0"/>
        <v>-10395.919274074084</v>
      </c>
      <c r="I19" s="31">
        <f t="shared" si="1"/>
        <v>-1708.7292740740813</v>
      </c>
      <c r="J19" s="32">
        <v>2.41</v>
      </c>
      <c r="K19" s="32">
        <f>J19/J18</f>
        <v>0.35703703703703704</v>
      </c>
    </row>
    <row r="20" spans="1:11" s="25" customFormat="1" ht="25.5" x14ac:dyDescent="0.2">
      <c r="A20" s="27" t="s">
        <v>18</v>
      </c>
      <c r="B20" s="28" t="s">
        <v>19</v>
      </c>
      <c r="C20" s="29">
        <v>1.2</v>
      </c>
      <c r="D20" s="30">
        <v>-4918.1400000000003</v>
      </c>
      <c r="E20" s="30">
        <f>E18*K20</f>
        <v>30951.724444444448</v>
      </c>
      <c r="F20" s="30">
        <f>F18*K20</f>
        <v>30100.90488888889</v>
      </c>
      <c r="G20" s="30">
        <f>E20</f>
        <v>30951.724444444448</v>
      </c>
      <c r="H20" s="31">
        <f t="shared" si="0"/>
        <v>-5768.959555555557</v>
      </c>
      <c r="I20" s="31">
        <f t="shared" si="1"/>
        <v>-850.8195555555576</v>
      </c>
      <c r="J20" s="32">
        <v>1.2</v>
      </c>
      <c r="K20" s="32">
        <f>J20/J18</f>
        <v>0.17777777777777778</v>
      </c>
    </row>
    <row r="21" spans="1:11" s="25" customFormat="1" ht="25.5" x14ac:dyDescent="0.2">
      <c r="A21" s="27" t="s">
        <v>20</v>
      </c>
      <c r="B21" s="28" t="s">
        <v>21</v>
      </c>
      <c r="C21" s="29">
        <v>1.51</v>
      </c>
      <c r="D21" s="30">
        <v>-6113.21</v>
      </c>
      <c r="E21" s="30">
        <f>E18*K21</f>
        <v>38947.586592592597</v>
      </c>
      <c r="F21" s="30">
        <f>F18*K21</f>
        <v>37876.971985185184</v>
      </c>
      <c r="G21" s="30">
        <f>E21</f>
        <v>38947.586592592597</v>
      </c>
      <c r="H21" s="31">
        <f t="shared" si="0"/>
        <v>-7183.8246074074123</v>
      </c>
      <c r="I21" s="31">
        <f t="shared" si="1"/>
        <v>-1070.6146074074131</v>
      </c>
      <c r="J21" s="32">
        <v>1.51</v>
      </c>
      <c r="K21" s="32">
        <f>J21/J18</f>
        <v>0.22370370370370371</v>
      </c>
    </row>
    <row r="22" spans="1:11" s="25" customFormat="1" ht="25.5" x14ac:dyDescent="0.2">
      <c r="A22" s="27" t="s">
        <v>22</v>
      </c>
      <c r="B22" s="28" t="s">
        <v>23</v>
      </c>
      <c r="C22" s="29">
        <v>1.63</v>
      </c>
      <c r="D22" s="30">
        <v>-5377.78</v>
      </c>
      <c r="E22" s="30">
        <f>E18*K22</f>
        <v>42042.759037037038</v>
      </c>
      <c r="F22" s="30">
        <f>F18*K22</f>
        <v>40887.062474074068</v>
      </c>
      <c r="G22" s="30">
        <f>E22</f>
        <v>42042.759037037038</v>
      </c>
      <c r="H22" s="31">
        <f t="shared" si="0"/>
        <v>-6533.4765629629692</v>
      </c>
      <c r="I22" s="31">
        <f t="shared" si="1"/>
        <v>-1155.6965629629703</v>
      </c>
      <c r="J22" s="32">
        <v>1.63</v>
      </c>
      <c r="K22" s="32">
        <f>J22/J18</f>
        <v>0.24148148148148146</v>
      </c>
    </row>
    <row r="23" spans="1:11" x14ac:dyDescent="0.2">
      <c r="A23" s="28" t="s">
        <v>25</v>
      </c>
      <c r="B23" s="28" t="s">
        <v>26</v>
      </c>
      <c r="C23" s="29">
        <v>3.15</v>
      </c>
      <c r="D23" s="28">
        <v>0</v>
      </c>
      <c r="E23" s="28">
        <v>0</v>
      </c>
      <c r="F23" s="31">
        <v>0</v>
      </c>
      <c r="G23" s="31">
        <v>0</v>
      </c>
      <c r="H23" s="31">
        <f t="shared" si="0"/>
        <v>0</v>
      </c>
      <c r="I23" s="31">
        <f t="shared" si="1"/>
        <v>0</v>
      </c>
    </row>
    <row r="24" spans="1:11" x14ac:dyDescent="0.2">
      <c r="A24" s="28" t="s">
        <v>27</v>
      </c>
      <c r="B24" s="28" t="s">
        <v>28</v>
      </c>
      <c r="C24" s="16">
        <v>2.6</v>
      </c>
      <c r="D24" s="28">
        <v>-6439.37</v>
      </c>
      <c r="E24" s="28">
        <v>59389.919999999998</v>
      </c>
      <c r="F24" s="31">
        <v>57568.62</v>
      </c>
      <c r="G24" s="31">
        <f>E24</f>
        <v>59389.919999999998</v>
      </c>
      <c r="H24" s="31">
        <f t="shared" si="0"/>
        <v>-8260.6699999999983</v>
      </c>
      <c r="I24" s="31">
        <f t="shared" si="1"/>
        <v>-1821.2999999999956</v>
      </c>
    </row>
    <row r="25" spans="1:11" ht="12.75" customHeight="1" x14ac:dyDescent="0.2">
      <c r="A25" s="28" t="s">
        <v>29</v>
      </c>
      <c r="B25" s="28" t="s">
        <v>30</v>
      </c>
      <c r="C25" s="29">
        <v>0.81</v>
      </c>
      <c r="D25" s="28">
        <v>0</v>
      </c>
      <c r="E25" s="28">
        <v>0</v>
      </c>
      <c r="F25" s="28">
        <v>0</v>
      </c>
      <c r="G25" s="28">
        <v>0</v>
      </c>
      <c r="H25" s="28">
        <f t="shared" si="0"/>
        <v>0</v>
      </c>
      <c r="I25" s="28">
        <f t="shared" si="1"/>
        <v>0</v>
      </c>
    </row>
    <row r="26" spans="1:11" ht="25.5" x14ac:dyDescent="0.2">
      <c r="A26" s="28" t="s">
        <v>31</v>
      </c>
      <c r="B26" s="28" t="s">
        <v>32</v>
      </c>
      <c r="C26" s="29">
        <v>1.61</v>
      </c>
      <c r="D26" s="28">
        <v>-28369.61</v>
      </c>
      <c r="E26" s="28">
        <v>65703.009999999995</v>
      </c>
      <c r="F26" s="28">
        <v>65330.400000000001</v>
      </c>
      <c r="G26" s="28">
        <v>24581.67</v>
      </c>
      <c r="H26" s="28">
        <f>D26+F26-G26</f>
        <v>12379.120000000003</v>
      </c>
      <c r="I26" s="28">
        <f>F26-E26</f>
        <v>-372.60999999999331</v>
      </c>
    </row>
    <row r="27" spans="1:11" s="37" customFormat="1" x14ac:dyDescent="0.2">
      <c r="A27" s="357" t="s">
        <v>115</v>
      </c>
      <c r="B27" s="358"/>
      <c r="C27" s="35"/>
      <c r="D27" s="36">
        <f t="shared" ref="D27:I27" si="2">D18+D23+D24+D25+D26</f>
        <v>-59905.3</v>
      </c>
      <c r="E27" s="36">
        <f t="shared" si="2"/>
        <v>299196.38</v>
      </c>
      <c r="F27" s="36">
        <f t="shared" si="2"/>
        <v>292216.61</v>
      </c>
      <c r="G27" s="36">
        <f t="shared" si="2"/>
        <v>258075.03999999998</v>
      </c>
      <c r="H27" s="36">
        <f t="shared" si="2"/>
        <v>-25763.730000000018</v>
      </c>
      <c r="I27" s="36">
        <f t="shared" si="2"/>
        <v>-6979.7700000000041</v>
      </c>
    </row>
    <row r="28" spans="1:11" ht="25.5" x14ac:dyDescent="0.2">
      <c r="A28" s="28" t="s">
        <v>33</v>
      </c>
      <c r="B28" s="28" t="s">
        <v>34</v>
      </c>
      <c r="C28" s="29">
        <v>0</v>
      </c>
      <c r="D28" s="28">
        <v>21203.4</v>
      </c>
      <c r="E28" s="28">
        <v>0</v>
      </c>
      <c r="F28" s="28">
        <v>42.57</v>
      </c>
      <c r="G28" s="28">
        <v>0</v>
      </c>
      <c r="H28" s="28">
        <f t="shared" si="0"/>
        <v>21245.97</v>
      </c>
      <c r="I28" s="28">
        <f t="shared" si="1"/>
        <v>42.57</v>
      </c>
    </row>
    <row r="29" spans="1:11" ht="25.5" x14ac:dyDescent="0.2">
      <c r="A29" s="28" t="s">
        <v>35</v>
      </c>
      <c r="B29" s="28" t="s">
        <v>36</v>
      </c>
      <c r="C29" s="29">
        <f t="shared" ref="C29:I29" si="3">SUM(C30:C33)</f>
        <v>1680.9299999999998</v>
      </c>
      <c r="D29" s="28">
        <f t="shared" si="3"/>
        <v>-101927.91</v>
      </c>
      <c r="E29" s="28">
        <f t="shared" si="3"/>
        <v>1158486.7</v>
      </c>
      <c r="F29" s="28">
        <f t="shared" si="3"/>
        <v>1093856.1200000001</v>
      </c>
      <c r="G29" s="28">
        <f t="shared" si="3"/>
        <v>1144236.6000000001</v>
      </c>
      <c r="H29" s="28">
        <f t="shared" si="3"/>
        <v>-152308.38999999996</v>
      </c>
      <c r="I29" s="28">
        <f t="shared" si="3"/>
        <v>-64630.579999999951</v>
      </c>
    </row>
    <row r="30" spans="1:11" x14ac:dyDescent="0.2">
      <c r="A30" s="28" t="s">
        <v>37</v>
      </c>
      <c r="B30" s="28" t="s">
        <v>106</v>
      </c>
      <c r="C30" s="16">
        <v>3.13</v>
      </c>
      <c r="D30" s="28">
        <v>-5404.73</v>
      </c>
      <c r="E30" s="28">
        <v>14250.1</v>
      </c>
      <c r="F30" s="28">
        <v>16846.060000000001</v>
      </c>
      <c r="G30" s="28"/>
      <c r="H30" s="28">
        <f t="shared" si="0"/>
        <v>11441.330000000002</v>
      </c>
      <c r="I30" s="28">
        <f t="shared" si="1"/>
        <v>2595.9600000000009</v>
      </c>
    </row>
    <row r="31" spans="1:11" x14ac:dyDescent="0.2">
      <c r="A31" s="28" t="s">
        <v>39</v>
      </c>
      <c r="B31" s="28" t="s">
        <v>38</v>
      </c>
      <c r="C31" s="16">
        <v>18.21</v>
      </c>
      <c r="D31" s="28">
        <v>-13533.66</v>
      </c>
      <c r="E31" s="28">
        <v>202200.89</v>
      </c>
      <c r="F31" s="28">
        <v>195379.97</v>
      </c>
      <c r="G31" s="28">
        <f>E31</f>
        <v>202200.89</v>
      </c>
      <c r="H31" s="28">
        <f t="shared" si="0"/>
        <v>-20354.580000000016</v>
      </c>
      <c r="I31" s="28">
        <f t="shared" si="1"/>
        <v>-6820.9200000000128</v>
      </c>
    </row>
    <row r="32" spans="1:11" x14ac:dyDescent="0.2">
      <c r="A32" s="28" t="s">
        <v>42</v>
      </c>
      <c r="B32" s="28" t="s">
        <v>40</v>
      </c>
      <c r="C32" s="16">
        <v>115.3</v>
      </c>
      <c r="D32" s="28">
        <v>-22785.21</v>
      </c>
      <c r="E32" s="28">
        <v>350895.14</v>
      </c>
      <c r="F32" s="28">
        <v>322914.71000000002</v>
      </c>
      <c r="G32" s="28">
        <f>E32</f>
        <v>350895.14</v>
      </c>
      <c r="H32" s="28">
        <f t="shared" si="0"/>
        <v>-50765.640000000014</v>
      </c>
      <c r="I32" s="28">
        <f t="shared" si="1"/>
        <v>-27980.429999999993</v>
      </c>
    </row>
    <row r="33" spans="1:11" x14ac:dyDescent="0.2">
      <c r="A33" s="28" t="s">
        <v>41</v>
      </c>
      <c r="B33" s="28" t="s">
        <v>43</v>
      </c>
      <c r="C33" s="16">
        <v>1544.29</v>
      </c>
      <c r="D33" s="28">
        <v>-60204.31</v>
      </c>
      <c r="E33" s="28">
        <v>591140.56999999995</v>
      </c>
      <c r="F33" s="28">
        <v>558715.38</v>
      </c>
      <c r="G33" s="28">
        <f>E33</f>
        <v>591140.56999999995</v>
      </c>
      <c r="H33" s="28">
        <f t="shared" si="0"/>
        <v>-92629.499999999942</v>
      </c>
      <c r="I33" s="28">
        <f t="shared" si="1"/>
        <v>-32425.189999999944</v>
      </c>
    </row>
    <row r="34" spans="1:11" s="20" customFormat="1" ht="15" customHeight="1" x14ac:dyDescent="0.25">
      <c r="A34" s="354" t="s">
        <v>107</v>
      </c>
      <c r="B34" s="355"/>
      <c r="C34" s="356"/>
      <c r="D34" s="19">
        <f t="shared" ref="D34:K34" si="4">D18+D23+D24+D25+D29</f>
        <v>-133463.6</v>
      </c>
      <c r="E34" s="19">
        <f t="shared" si="4"/>
        <v>1391980.0699999998</v>
      </c>
      <c r="F34" s="19">
        <f t="shared" si="4"/>
        <v>1320742.33</v>
      </c>
      <c r="G34" s="19">
        <f t="shared" si="4"/>
        <v>1377729.9700000002</v>
      </c>
      <c r="H34" s="19">
        <f t="shared" si="4"/>
        <v>-190451.24</v>
      </c>
      <c r="I34" s="19">
        <f t="shared" si="4"/>
        <v>-71237.739999999962</v>
      </c>
      <c r="J34" s="19">
        <f t="shared" si="4"/>
        <v>6.75</v>
      </c>
      <c r="K34" s="19">
        <f t="shared" si="4"/>
        <v>0</v>
      </c>
    </row>
    <row r="35" spans="1:11" s="20" customFormat="1" ht="11.25" customHeight="1" x14ac:dyDescent="0.25">
      <c r="A35" s="21"/>
      <c r="B35" s="21"/>
      <c r="C35" s="21"/>
      <c r="D35" s="22"/>
      <c r="E35" s="22"/>
      <c r="F35" s="22"/>
      <c r="G35" s="22"/>
      <c r="H35" s="22"/>
      <c r="I35" s="22"/>
      <c r="J35" s="22"/>
      <c r="K35" s="22"/>
    </row>
    <row r="36" spans="1:11" ht="23.25" customHeight="1" x14ac:dyDescent="0.2">
      <c r="A36" s="289" t="s">
        <v>44</v>
      </c>
      <c r="B36" s="289"/>
      <c r="C36" s="289"/>
      <c r="D36" s="289"/>
      <c r="E36" s="289"/>
      <c r="F36" s="289"/>
      <c r="G36" s="289"/>
      <c r="H36" s="289"/>
      <c r="I36" s="289"/>
    </row>
    <row r="38" spans="1:11" s="18" customFormat="1" ht="28.5" customHeight="1" x14ac:dyDescent="0.2">
      <c r="A38" s="6" t="s">
        <v>11</v>
      </c>
      <c r="B38" s="290" t="s">
        <v>45</v>
      </c>
      <c r="C38" s="291"/>
      <c r="D38" s="291"/>
      <c r="E38" s="292"/>
      <c r="F38" s="290" t="s">
        <v>46</v>
      </c>
      <c r="G38" s="353"/>
    </row>
    <row r="39" spans="1:11" s="20" customFormat="1" ht="13.5" x14ac:dyDescent="0.25">
      <c r="A39" s="33" t="s">
        <v>47</v>
      </c>
      <c r="B39" s="349" t="s">
        <v>48</v>
      </c>
      <c r="C39" s="350"/>
      <c r="D39" s="350"/>
      <c r="E39" s="351"/>
      <c r="F39" s="352">
        <f>SUM(F40:G43)</f>
        <v>24581.67</v>
      </c>
      <c r="G39" s="353"/>
    </row>
    <row r="40" spans="1:11" ht="15.75" customHeight="1" x14ac:dyDescent="0.2">
      <c r="A40" s="28" t="s">
        <v>16</v>
      </c>
      <c r="B40" s="298" t="s">
        <v>111</v>
      </c>
      <c r="C40" s="359"/>
      <c r="D40" s="359"/>
      <c r="E40" s="299"/>
      <c r="F40" s="342">
        <v>1007.78</v>
      </c>
      <c r="G40" s="342"/>
    </row>
    <row r="41" spans="1:11" ht="15.75" customHeight="1" x14ac:dyDescent="0.2">
      <c r="A41" s="28" t="s">
        <v>18</v>
      </c>
      <c r="B41" s="298" t="s">
        <v>110</v>
      </c>
      <c r="C41" s="359"/>
      <c r="D41" s="359"/>
      <c r="E41" s="299"/>
      <c r="F41" s="342">
        <v>10480.41</v>
      </c>
      <c r="G41" s="342"/>
    </row>
    <row r="42" spans="1:11" ht="15.75" customHeight="1" x14ac:dyDescent="0.2">
      <c r="A42" s="28" t="s">
        <v>20</v>
      </c>
      <c r="B42" s="298" t="s">
        <v>112</v>
      </c>
      <c r="C42" s="359"/>
      <c r="D42" s="359"/>
      <c r="E42" s="299"/>
      <c r="F42" s="342">
        <v>3847.63</v>
      </c>
      <c r="G42" s="342"/>
    </row>
    <row r="43" spans="1:11" ht="15.75" customHeight="1" x14ac:dyDescent="0.2">
      <c r="A43" s="28" t="s">
        <v>22</v>
      </c>
      <c r="B43" s="298" t="s">
        <v>113</v>
      </c>
      <c r="C43" s="359"/>
      <c r="D43" s="359"/>
      <c r="E43" s="299"/>
      <c r="F43" s="342">
        <v>9245.85</v>
      </c>
      <c r="G43" s="342"/>
    </row>
    <row r="44" spans="1:11" x14ac:dyDescent="0.2">
      <c r="B44" s="13"/>
      <c r="C44" s="13"/>
      <c r="D44" s="13"/>
      <c r="E44" s="13"/>
    </row>
    <row r="45" spans="1:11" s="25" customFormat="1" x14ac:dyDescent="0.2"/>
    <row r="46" spans="1:11" s="25" customFormat="1" x14ac:dyDescent="0.2">
      <c r="A46" s="25" t="s">
        <v>55</v>
      </c>
      <c r="F46" s="25" t="s">
        <v>49</v>
      </c>
      <c r="H46" s="25" t="s">
        <v>102</v>
      </c>
    </row>
    <row r="47" spans="1:11" s="25" customFormat="1" x14ac:dyDescent="0.2"/>
    <row r="48" spans="1:11" s="25" customFormat="1" x14ac:dyDescent="0.2">
      <c r="F48" s="26" t="s">
        <v>109</v>
      </c>
    </row>
    <row r="49" spans="1:8" s="25" customFormat="1" x14ac:dyDescent="0.2"/>
    <row r="50" spans="1:8" s="25" customFormat="1" x14ac:dyDescent="0.2">
      <c r="A50" s="25" t="s">
        <v>50</v>
      </c>
    </row>
    <row r="51" spans="1:8" s="25" customFormat="1" x14ac:dyDescent="0.2">
      <c r="D51" s="34" t="s">
        <v>51</v>
      </c>
      <c r="F51" s="34"/>
      <c r="G51" s="34"/>
      <c r="H51" s="34"/>
    </row>
    <row r="52" spans="1:8" s="25" customFormat="1" x14ac:dyDescent="0.2"/>
    <row r="53" spans="1:8" s="25" customFormat="1" x14ac:dyDescent="0.2"/>
  </sheetData>
  <mergeCells count="22">
    <mergeCell ref="B40:E40"/>
    <mergeCell ref="F40:G40"/>
    <mergeCell ref="B41:E41"/>
    <mergeCell ref="F41:G41"/>
    <mergeCell ref="B43:E43"/>
    <mergeCell ref="F43:G43"/>
    <mergeCell ref="B42:E42"/>
    <mergeCell ref="F42:G42"/>
    <mergeCell ref="B39:E39"/>
    <mergeCell ref="F39:G39"/>
    <mergeCell ref="A15:I15"/>
    <mergeCell ref="A34:C34"/>
    <mergeCell ref="A36:I36"/>
    <mergeCell ref="B38:E38"/>
    <mergeCell ref="F38:G38"/>
    <mergeCell ref="A27:B27"/>
    <mergeCell ref="A14:I14"/>
    <mergeCell ref="A1:I1"/>
    <mergeCell ref="A2:I2"/>
    <mergeCell ref="A3:I3"/>
    <mergeCell ref="A5:I5"/>
    <mergeCell ref="A13:I13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3" workbookViewId="0">
      <selection activeCell="O40" sqref="O40"/>
    </sheetView>
  </sheetViews>
  <sheetFormatPr defaultRowHeight="12.75" outlineLevelCol="1" x14ac:dyDescent="0.2"/>
  <cols>
    <col min="1" max="1" width="3.85546875" style="23" customWidth="1"/>
    <col min="2" max="2" width="29.28515625" style="23" customWidth="1"/>
    <col min="3" max="3" width="11.42578125" style="23" customWidth="1"/>
    <col min="4" max="4" width="13.28515625" style="23" customWidth="1"/>
    <col min="5" max="5" width="14.5703125" style="23" customWidth="1"/>
    <col min="6" max="6" width="13.42578125" style="23" customWidth="1"/>
    <col min="7" max="7" width="14" style="23" customWidth="1"/>
    <col min="8" max="8" width="10.140625" style="23" hidden="1" customWidth="1" outlineLevel="1"/>
    <col min="9" max="9" width="10.42578125" style="23" hidden="1" customWidth="1" outlineLevel="1"/>
    <col min="10" max="11" width="9.140625" style="23" hidden="1" customWidth="1" outlineLevel="1"/>
    <col min="12" max="12" width="9.140625" style="23" collapsed="1"/>
    <col min="13" max="16384" width="9.140625" style="23"/>
  </cols>
  <sheetData>
    <row r="1" spans="1:9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</row>
    <row r="3" spans="1:9" x14ac:dyDescent="0.2">
      <c r="A3" s="293" t="s">
        <v>108</v>
      </c>
      <c r="B3" s="293"/>
      <c r="C3" s="293"/>
      <c r="D3" s="293"/>
      <c r="E3" s="293"/>
      <c r="F3" s="293"/>
      <c r="G3" s="293"/>
      <c r="H3" s="293"/>
      <c r="I3" s="293"/>
    </row>
    <row r="4" spans="1:9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</row>
    <row r="7" spans="1:9" s="25" customFormat="1" x14ac:dyDescent="0.2">
      <c r="A7" s="25" t="s">
        <v>2</v>
      </c>
      <c r="F7" s="26" t="s">
        <v>53</v>
      </c>
    </row>
    <row r="8" spans="1:9" s="25" customFormat="1" x14ac:dyDescent="0.2">
      <c r="A8" s="25" t="s">
        <v>3</v>
      </c>
      <c r="F8" s="26" t="s">
        <v>54</v>
      </c>
    </row>
    <row r="9" spans="1:9" s="25" customFormat="1" x14ac:dyDescent="0.2">
      <c r="A9" s="25" t="s">
        <v>4</v>
      </c>
    </row>
    <row r="10" spans="1:9" s="25" customFormat="1" x14ac:dyDescent="0.2">
      <c r="A10" s="25" t="s">
        <v>5</v>
      </c>
      <c r="F10" s="26" t="s">
        <v>6</v>
      </c>
    </row>
    <row r="11" spans="1:9" s="25" customFormat="1" x14ac:dyDescent="0.2">
      <c r="A11" s="25" t="s">
        <v>7</v>
      </c>
      <c r="F11" s="26" t="s">
        <v>6</v>
      </c>
    </row>
    <row r="12" spans="1:9" s="25" customFormat="1" x14ac:dyDescent="0.2"/>
    <row r="13" spans="1:9" s="25" customFormat="1" x14ac:dyDescent="0.2">
      <c r="A13" s="286" t="s">
        <v>8</v>
      </c>
      <c r="B13" s="286"/>
      <c r="C13" s="286"/>
      <c r="D13" s="286"/>
      <c r="E13" s="286"/>
      <c r="F13" s="286"/>
      <c r="G13" s="286"/>
      <c r="H13" s="286"/>
      <c r="I13" s="286"/>
    </row>
    <row r="14" spans="1:9" s="25" customFormat="1" x14ac:dyDescent="0.2">
      <c r="A14" s="286" t="s">
        <v>9</v>
      </c>
      <c r="B14" s="286"/>
      <c r="C14" s="286"/>
      <c r="D14" s="286"/>
      <c r="E14" s="286"/>
      <c r="F14" s="286"/>
      <c r="G14" s="286"/>
      <c r="H14" s="286"/>
      <c r="I14" s="286"/>
    </row>
    <row r="15" spans="1:9" s="25" customFormat="1" x14ac:dyDescent="0.2">
      <c r="A15" s="286" t="s">
        <v>10</v>
      </c>
      <c r="B15" s="286"/>
      <c r="C15" s="286"/>
      <c r="D15" s="286"/>
      <c r="E15" s="286"/>
      <c r="F15" s="286"/>
      <c r="G15" s="286"/>
      <c r="H15" s="286"/>
      <c r="I15" s="286"/>
    </row>
    <row r="16" spans="1:9" s="25" customFormat="1" x14ac:dyDescent="0.2"/>
    <row r="17" spans="1:9" s="18" customFormat="1" ht="51" x14ac:dyDescent="0.25">
      <c r="A17" s="6" t="s">
        <v>11</v>
      </c>
      <c r="B17" s="6" t="s">
        <v>12</v>
      </c>
      <c r="C17" s="6" t="s">
        <v>103</v>
      </c>
      <c r="D17" s="6" t="s">
        <v>98</v>
      </c>
      <c r="E17" s="6" t="s">
        <v>99</v>
      </c>
      <c r="F17" s="17" t="s">
        <v>100</v>
      </c>
      <c r="G17" s="6" t="s">
        <v>114</v>
      </c>
    </row>
    <row r="18" spans="1:9" s="25" customFormat="1" ht="25.5" x14ac:dyDescent="0.2">
      <c r="A18" s="27" t="s">
        <v>14</v>
      </c>
      <c r="B18" s="28" t="s">
        <v>15</v>
      </c>
      <c r="C18" s="29">
        <v>6.75</v>
      </c>
      <c r="D18" s="27">
        <v>174103.45</v>
      </c>
      <c r="E18" s="30">
        <v>169317.59</v>
      </c>
      <c r="F18" s="30">
        <f>D18</f>
        <v>174103.45</v>
      </c>
      <c r="G18" s="31">
        <f t="shared" ref="G18:G27" si="0">E18-D18</f>
        <v>-4785.8600000000151</v>
      </c>
      <c r="H18" s="32">
        <v>6.75</v>
      </c>
      <c r="I18" s="32"/>
    </row>
    <row r="19" spans="1:9" s="25" customFormat="1" ht="25.5" x14ac:dyDescent="0.2">
      <c r="A19" s="27" t="s">
        <v>16</v>
      </c>
      <c r="B19" s="28" t="s">
        <v>17</v>
      </c>
      <c r="C19" s="29">
        <v>2.41</v>
      </c>
      <c r="D19" s="30">
        <f>D18*I19</f>
        <v>62161.379925925932</v>
      </c>
      <c r="E19" s="30">
        <f>E18*I19</f>
        <v>60452.650651851851</v>
      </c>
      <c r="F19" s="30">
        <f>D19</f>
        <v>62161.379925925932</v>
      </c>
      <c r="G19" s="31">
        <f t="shared" si="0"/>
        <v>-1708.7292740740813</v>
      </c>
      <c r="H19" s="32">
        <v>2.41</v>
      </c>
      <c r="I19" s="32">
        <f>H19/H18</f>
        <v>0.35703703703703704</v>
      </c>
    </row>
    <row r="20" spans="1:9" s="25" customFormat="1" ht="25.5" x14ac:dyDescent="0.2">
      <c r="A20" s="27" t="s">
        <v>18</v>
      </c>
      <c r="B20" s="28" t="s">
        <v>19</v>
      </c>
      <c r="C20" s="29">
        <v>1.2</v>
      </c>
      <c r="D20" s="30">
        <f>D18*I20</f>
        <v>30951.724444444448</v>
      </c>
      <c r="E20" s="30">
        <f>E18*I20</f>
        <v>30100.90488888889</v>
      </c>
      <c r="F20" s="30">
        <f>D20</f>
        <v>30951.724444444448</v>
      </c>
      <c r="G20" s="31">
        <f t="shared" si="0"/>
        <v>-850.8195555555576</v>
      </c>
      <c r="H20" s="32">
        <v>1.2</v>
      </c>
      <c r="I20" s="32">
        <f>H20/H18</f>
        <v>0.17777777777777778</v>
      </c>
    </row>
    <row r="21" spans="1:9" s="25" customFormat="1" x14ac:dyDescent="0.2">
      <c r="A21" s="27" t="s">
        <v>20</v>
      </c>
      <c r="B21" s="28" t="s">
        <v>21</v>
      </c>
      <c r="C21" s="29">
        <v>1.51</v>
      </c>
      <c r="D21" s="30">
        <f>D18*I21</f>
        <v>38947.586592592597</v>
      </c>
      <c r="E21" s="30">
        <f>E18*I21</f>
        <v>37876.971985185184</v>
      </c>
      <c r="F21" s="30">
        <f>D21</f>
        <v>38947.586592592597</v>
      </c>
      <c r="G21" s="31">
        <f t="shared" si="0"/>
        <v>-1070.6146074074131</v>
      </c>
      <c r="H21" s="32">
        <v>1.51</v>
      </c>
      <c r="I21" s="32">
        <f>H21/H18</f>
        <v>0.22370370370370371</v>
      </c>
    </row>
    <row r="22" spans="1:9" s="25" customFormat="1" ht="25.5" x14ac:dyDescent="0.2">
      <c r="A22" s="27" t="s">
        <v>22</v>
      </c>
      <c r="B22" s="28" t="s">
        <v>23</v>
      </c>
      <c r="C22" s="29">
        <v>1.63</v>
      </c>
      <c r="D22" s="30">
        <f>D18*I22</f>
        <v>42042.759037037038</v>
      </c>
      <c r="E22" s="30">
        <f>E18*I22</f>
        <v>40887.062474074068</v>
      </c>
      <c r="F22" s="30">
        <f>D22</f>
        <v>42042.759037037038</v>
      </c>
      <c r="G22" s="31">
        <f t="shared" si="0"/>
        <v>-1155.6965629629703</v>
      </c>
      <c r="H22" s="32">
        <v>1.63</v>
      </c>
      <c r="I22" s="32">
        <f>H22/H18</f>
        <v>0.24148148148148146</v>
      </c>
    </row>
    <row r="23" spans="1:9" x14ac:dyDescent="0.2">
      <c r="A23" s="28" t="s">
        <v>25</v>
      </c>
      <c r="B23" s="28" t="s">
        <v>26</v>
      </c>
      <c r="C23" s="29">
        <v>3.15</v>
      </c>
      <c r="D23" s="28">
        <v>0</v>
      </c>
      <c r="E23" s="31">
        <v>0</v>
      </c>
      <c r="F23" s="31">
        <v>0</v>
      </c>
      <c r="G23" s="31">
        <f t="shared" si="0"/>
        <v>0</v>
      </c>
    </row>
    <row r="24" spans="1:9" x14ac:dyDescent="0.2">
      <c r="A24" s="28" t="s">
        <v>27</v>
      </c>
      <c r="B24" s="28" t="s">
        <v>28</v>
      </c>
      <c r="C24" s="16">
        <v>2.6</v>
      </c>
      <c r="D24" s="28">
        <v>59389.919999999998</v>
      </c>
      <c r="E24" s="31">
        <v>57568.62</v>
      </c>
      <c r="F24" s="31">
        <f>D24</f>
        <v>59389.919999999998</v>
      </c>
      <c r="G24" s="31">
        <f t="shared" si="0"/>
        <v>-1821.2999999999956</v>
      </c>
    </row>
    <row r="25" spans="1:9" x14ac:dyDescent="0.2">
      <c r="A25" s="28" t="s">
        <v>29</v>
      </c>
      <c r="B25" s="28" t="s">
        <v>30</v>
      </c>
      <c r="C25" s="29">
        <v>0.81</v>
      </c>
      <c r="D25" s="28">
        <v>0</v>
      </c>
      <c r="E25" s="28">
        <v>0</v>
      </c>
      <c r="F25" s="28">
        <v>0</v>
      </c>
      <c r="G25" s="28">
        <f t="shared" si="0"/>
        <v>0</v>
      </c>
    </row>
    <row r="26" spans="1:9" ht="25.5" x14ac:dyDescent="0.2">
      <c r="A26" s="28" t="s">
        <v>31</v>
      </c>
      <c r="B26" s="28" t="s">
        <v>32</v>
      </c>
      <c r="C26" s="29">
        <v>1.61</v>
      </c>
      <c r="D26" s="28">
        <v>65703.009999999995</v>
      </c>
      <c r="E26" s="28">
        <v>65330.400000000001</v>
      </c>
      <c r="F26" s="28">
        <v>24581.67</v>
      </c>
      <c r="G26" s="28">
        <f t="shared" si="0"/>
        <v>-372.60999999999331</v>
      </c>
    </row>
    <row r="27" spans="1:9" ht="25.5" x14ac:dyDescent="0.2">
      <c r="A27" s="28" t="s">
        <v>33</v>
      </c>
      <c r="B27" s="28" t="s">
        <v>34</v>
      </c>
      <c r="C27" s="29">
        <v>0</v>
      </c>
      <c r="D27" s="28">
        <v>0</v>
      </c>
      <c r="E27" s="28">
        <v>42.57</v>
      </c>
      <c r="F27" s="28">
        <v>0</v>
      </c>
      <c r="G27" s="28">
        <f t="shared" si="0"/>
        <v>42.57</v>
      </c>
    </row>
    <row r="28" spans="1:9" ht="25.5" x14ac:dyDescent="0.2">
      <c r="A28" s="28" t="s">
        <v>35</v>
      </c>
      <c r="B28" s="28" t="s">
        <v>36</v>
      </c>
      <c r="C28" s="29">
        <f>SUM(C29:C32)</f>
        <v>1680.9299999999998</v>
      </c>
      <c r="D28" s="28">
        <f>SUM(D29:D32)</f>
        <v>1158486.7</v>
      </c>
      <c r="E28" s="28">
        <f>SUM(E29:E32)</f>
        <v>1093856.1200000001</v>
      </c>
      <c r="F28" s="28">
        <f>SUM(F29:F32)</f>
        <v>1144236.6000000001</v>
      </c>
      <c r="G28" s="28">
        <f>SUM(G29:G32)</f>
        <v>-64630.579999999951</v>
      </c>
    </row>
    <row r="29" spans="1:9" x14ac:dyDescent="0.2">
      <c r="A29" s="28" t="s">
        <v>37</v>
      </c>
      <c r="B29" s="28" t="s">
        <v>106</v>
      </c>
      <c r="C29" s="16">
        <v>3.13</v>
      </c>
      <c r="D29" s="28">
        <v>14250.1</v>
      </c>
      <c r="E29" s="28">
        <v>16846.060000000001</v>
      </c>
      <c r="F29" s="28"/>
      <c r="G29" s="28">
        <f>E29-D29</f>
        <v>2595.9600000000009</v>
      </c>
    </row>
    <row r="30" spans="1:9" x14ac:dyDescent="0.2">
      <c r="A30" s="28" t="s">
        <v>39</v>
      </c>
      <c r="B30" s="28" t="s">
        <v>38</v>
      </c>
      <c r="C30" s="16">
        <v>18.21</v>
      </c>
      <c r="D30" s="28">
        <v>202200.89</v>
      </c>
      <c r="E30" s="28">
        <v>195379.97</v>
      </c>
      <c r="F30" s="28">
        <f>D30</f>
        <v>202200.89</v>
      </c>
      <c r="G30" s="28">
        <f>E30-D30</f>
        <v>-6820.9200000000128</v>
      </c>
    </row>
    <row r="31" spans="1:9" x14ac:dyDescent="0.2">
      <c r="A31" s="28" t="s">
        <v>42</v>
      </c>
      <c r="B31" s="28" t="s">
        <v>40</v>
      </c>
      <c r="C31" s="16">
        <v>115.3</v>
      </c>
      <c r="D31" s="28">
        <v>350895.14</v>
      </c>
      <c r="E31" s="28">
        <v>322914.71000000002</v>
      </c>
      <c r="F31" s="28">
        <f>D31</f>
        <v>350895.14</v>
      </c>
      <c r="G31" s="28">
        <f>E31-D31</f>
        <v>-27980.429999999993</v>
      </c>
    </row>
    <row r="32" spans="1:9" x14ac:dyDescent="0.2">
      <c r="A32" s="28" t="s">
        <v>41</v>
      </c>
      <c r="B32" s="28" t="s">
        <v>43</v>
      </c>
      <c r="C32" s="16">
        <v>1544.29</v>
      </c>
      <c r="D32" s="28">
        <v>591140.56999999995</v>
      </c>
      <c r="E32" s="28">
        <v>558715.38</v>
      </c>
      <c r="F32" s="28">
        <f>D32</f>
        <v>591140.56999999995</v>
      </c>
      <c r="G32" s="28">
        <f>E32-D32</f>
        <v>-32425.189999999944</v>
      </c>
    </row>
    <row r="33" spans="1:11" s="20" customFormat="1" ht="15" customHeight="1" x14ac:dyDescent="0.25">
      <c r="A33" s="354" t="s">
        <v>107</v>
      </c>
      <c r="B33" s="355"/>
      <c r="C33" s="356"/>
      <c r="D33" s="19">
        <f t="shared" ref="D33:I33" si="1">D18+D23+D24+D25+D28</f>
        <v>1391980.0699999998</v>
      </c>
      <c r="E33" s="19">
        <f t="shared" si="1"/>
        <v>1320742.33</v>
      </c>
      <c r="F33" s="19">
        <f t="shared" si="1"/>
        <v>1377729.9700000002</v>
      </c>
      <c r="G33" s="19">
        <f t="shared" si="1"/>
        <v>-71237.739999999962</v>
      </c>
      <c r="H33" s="19">
        <f t="shared" si="1"/>
        <v>6.75</v>
      </c>
      <c r="I33" s="19">
        <f t="shared" si="1"/>
        <v>0</v>
      </c>
    </row>
    <row r="34" spans="1:11" s="20" customFormat="1" ht="9.75" customHeight="1" x14ac:dyDescent="0.25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</row>
    <row r="35" spans="1:11" ht="23.25" customHeight="1" x14ac:dyDescent="0.2">
      <c r="A35" s="289" t="s">
        <v>44</v>
      </c>
      <c r="B35" s="289"/>
      <c r="C35" s="289"/>
      <c r="D35" s="289"/>
      <c r="E35" s="289"/>
      <c r="F35" s="289"/>
      <c r="G35" s="289"/>
      <c r="H35" s="289"/>
      <c r="I35" s="289"/>
    </row>
    <row r="37" spans="1:11" s="18" customFormat="1" ht="28.5" customHeight="1" x14ac:dyDescent="0.2">
      <c r="A37" s="6" t="s">
        <v>11</v>
      </c>
      <c r="B37" s="290" t="s">
        <v>45</v>
      </c>
      <c r="C37" s="291"/>
      <c r="D37" s="291"/>
      <c r="E37" s="292"/>
      <c r="F37" s="290" t="s">
        <v>46</v>
      </c>
      <c r="G37" s="353"/>
    </row>
    <row r="38" spans="1:11" s="20" customFormat="1" ht="13.5" x14ac:dyDescent="0.25">
      <c r="A38" s="33" t="s">
        <v>47</v>
      </c>
      <c r="B38" s="349" t="s">
        <v>48</v>
      </c>
      <c r="C38" s="350"/>
      <c r="D38" s="350"/>
      <c r="E38" s="351"/>
      <c r="F38" s="352">
        <f>SUM(F39:G42)</f>
        <v>24581.67</v>
      </c>
      <c r="G38" s="353"/>
    </row>
    <row r="39" spans="1:11" ht="15.75" customHeight="1" x14ac:dyDescent="0.2">
      <c r="A39" s="28" t="s">
        <v>16</v>
      </c>
      <c r="B39" s="298" t="s">
        <v>111</v>
      </c>
      <c r="C39" s="359"/>
      <c r="D39" s="359"/>
      <c r="E39" s="299"/>
      <c r="F39" s="342">
        <v>1007.78</v>
      </c>
      <c r="G39" s="342"/>
    </row>
    <row r="40" spans="1:11" ht="15.75" customHeight="1" x14ac:dyDescent="0.2">
      <c r="A40" s="28" t="s">
        <v>18</v>
      </c>
      <c r="B40" s="298" t="s">
        <v>110</v>
      </c>
      <c r="C40" s="359"/>
      <c r="D40" s="359"/>
      <c r="E40" s="299"/>
      <c r="F40" s="342">
        <v>10480.41</v>
      </c>
      <c r="G40" s="342"/>
    </row>
    <row r="41" spans="1:11" ht="15.75" customHeight="1" x14ac:dyDescent="0.2">
      <c r="A41" s="28" t="s">
        <v>20</v>
      </c>
      <c r="B41" s="298" t="s">
        <v>112</v>
      </c>
      <c r="C41" s="359"/>
      <c r="D41" s="359"/>
      <c r="E41" s="299"/>
      <c r="F41" s="342">
        <v>3847.63</v>
      </c>
      <c r="G41" s="342"/>
    </row>
    <row r="42" spans="1:11" ht="15.75" customHeight="1" x14ac:dyDescent="0.2">
      <c r="A42" s="28" t="s">
        <v>22</v>
      </c>
      <c r="B42" s="298" t="s">
        <v>113</v>
      </c>
      <c r="C42" s="359"/>
      <c r="D42" s="359"/>
      <c r="E42" s="299"/>
      <c r="F42" s="342">
        <v>9245.85</v>
      </c>
      <c r="G42" s="342"/>
    </row>
    <row r="43" spans="1:11" x14ac:dyDescent="0.2">
      <c r="B43" s="13"/>
      <c r="C43" s="13"/>
      <c r="D43" s="13"/>
      <c r="E43" s="13"/>
    </row>
    <row r="44" spans="1:11" s="25" customFormat="1" x14ac:dyDescent="0.2">
      <c r="A44" s="25" t="s">
        <v>55</v>
      </c>
      <c r="E44" s="25" t="s">
        <v>49</v>
      </c>
      <c r="G44" s="25" t="s">
        <v>102</v>
      </c>
    </row>
    <row r="45" spans="1:11" s="25" customFormat="1" x14ac:dyDescent="0.2"/>
    <row r="46" spans="1:11" s="25" customFormat="1" x14ac:dyDescent="0.2">
      <c r="E46" s="26" t="s">
        <v>109</v>
      </c>
    </row>
    <row r="47" spans="1:11" s="25" customFormat="1" x14ac:dyDescent="0.2">
      <c r="A47" s="25" t="s">
        <v>50</v>
      </c>
    </row>
    <row r="48" spans="1:11" s="25" customFormat="1" x14ac:dyDescent="0.2">
      <c r="C48" s="34" t="s">
        <v>51</v>
      </c>
      <c r="F48" s="34"/>
      <c r="G48" s="34"/>
      <c r="H48" s="34"/>
    </row>
    <row r="49" s="25" customFormat="1" x14ac:dyDescent="0.2"/>
    <row r="50" s="25" customFormat="1" x14ac:dyDescent="0.2"/>
  </sheetData>
  <mergeCells count="21">
    <mergeCell ref="A1:I1"/>
    <mergeCell ref="A2:I2"/>
    <mergeCell ref="A3:I3"/>
    <mergeCell ref="A5:I5"/>
    <mergeCell ref="B37:E37"/>
    <mergeCell ref="A13:I13"/>
    <mergeCell ref="F38:G38"/>
    <mergeCell ref="A33:C33"/>
    <mergeCell ref="F37:G37"/>
    <mergeCell ref="A14:I14"/>
    <mergeCell ref="B38:E38"/>
    <mergeCell ref="A15:I15"/>
    <mergeCell ref="A35:I35"/>
    <mergeCell ref="B42:E42"/>
    <mergeCell ref="F42:G42"/>
    <mergeCell ref="B39:E39"/>
    <mergeCell ref="F39:G39"/>
    <mergeCell ref="B40:E40"/>
    <mergeCell ref="B41:E41"/>
    <mergeCell ref="F40:G40"/>
    <mergeCell ref="F41:G41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5.140625" style="1" customWidth="1"/>
    <col min="2" max="2" width="48.140625" style="1" customWidth="1"/>
    <col min="3" max="3" width="14.5703125" style="1" customWidth="1"/>
    <col min="4" max="5" width="13.140625" style="1" customWidth="1"/>
    <col min="6" max="6" width="13" style="1" customWidth="1"/>
    <col min="7" max="7" width="13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7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2.25" customHeight="1" x14ac:dyDescent="0.25"/>
    <row r="7" spans="1:11" s="3" customFormat="1" ht="16.5" customHeight="1" x14ac:dyDescent="0.25">
      <c r="A7" s="3" t="s">
        <v>2</v>
      </c>
      <c r="F7" s="4" t="s">
        <v>119</v>
      </c>
    </row>
    <row r="8" spans="1:11" s="3" customFormat="1" x14ac:dyDescent="0.25">
      <c r="A8" s="3" t="s">
        <v>3</v>
      </c>
      <c r="F8" s="4" t="s">
        <v>120</v>
      </c>
    </row>
    <row r="9" spans="1:11" s="3" customFormat="1" ht="3.75" customHeight="1" x14ac:dyDescent="0.25"/>
    <row r="10" spans="1:11" s="3" customFormat="1" ht="12.75" customHeigh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ht="12.75" customHeigh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2.75" customHeight="1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106041.35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60458.66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-119734.89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14.25" x14ac:dyDescent="0.2">
      <c r="A19" s="187" t="s">
        <v>14</v>
      </c>
      <c r="B19" s="137" t="s">
        <v>15</v>
      </c>
      <c r="C19" s="201">
        <f>SUM(C20:C23)</f>
        <v>8.9599999999999991</v>
      </c>
      <c r="D19" s="165">
        <v>395996.64</v>
      </c>
      <c r="E19" s="165">
        <v>398650.91</v>
      </c>
      <c r="F19" s="165">
        <f t="shared" ref="F19:F26" si="0">D19</f>
        <v>395996.64</v>
      </c>
      <c r="G19" s="166">
        <f>E19-D19</f>
        <v>2654.2699999999604</v>
      </c>
      <c r="H19" s="70">
        <f>C19</f>
        <v>8.9599999999999991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136123.84500000003</v>
      </c>
      <c r="E20" s="67">
        <f>E19*I20</f>
        <v>137036.25031250002</v>
      </c>
      <c r="F20" s="67">
        <f t="shared" si="0"/>
        <v>136123.84500000003</v>
      </c>
      <c r="G20" s="68">
        <f t="shared" ref="G20:G28" si="1">E20-D20</f>
        <v>912.40531249999185</v>
      </c>
      <c r="H20" s="70">
        <f t="shared" ref="H20:H23" si="2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64968.19875000001</v>
      </c>
      <c r="E21" s="67">
        <f>E19*I21</f>
        <v>65403.66492187501</v>
      </c>
      <c r="F21" s="67">
        <f t="shared" si="0"/>
        <v>64968.19875000001</v>
      </c>
      <c r="G21" s="68">
        <f t="shared" si="1"/>
        <v>435.46617187499942</v>
      </c>
      <c r="H21" s="70">
        <f t="shared" si="2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79994.856964285733</v>
      </c>
      <c r="E22" s="67">
        <f>E19*I22</f>
        <v>80531.043203125009</v>
      </c>
      <c r="F22" s="67">
        <f t="shared" si="0"/>
        <v>79994.856964285733</v>
      </c>
      <c r="G22" s="68">
        <f t="shared" si="1"/>
        <v>536.18623883927648</v>
      </c>
      <c r="H22" s="70">
        <f t="shared" si="2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114909.7392857143</v>
      </c>
      <c r="E23" s="67">
        <f>E19*I23</f>
        <v>115679.95156250001</v>
      </c>
      <c r="F23" s="67">
        <f t="shared" si="0"/>
        <v>114909.7392857143</v>
      </c>
      <c r="G23" s="68">
        <f t="shared" si="1"/>
        <v>770.21227678570722</v>
      </c>
      <c r="H23" s="70">
        <f t="shared" si="2"/>
        <v>2.6</v>
      </c>
      <c r="I23" s="15">
        <f>H23/H19</f>
        <v>0.29017857142857145</v>
      </c>
    </row>
    <row r="24" spans="1:9" s="186" customFormat="1" ht="14.25" x14ac:dyDescent="0.2">
      <c r="A24" s="137" t="s">
        <v>25</v>
      </c>
      <c r="B24" s="137" t="s">
        <v>26</v>
      </c>
      <c r="C24" s="201">
        <v>3.43</v>
      </c>
      <c r="D24" s="166">
        <v>151593.24</v>
      </c>
      <c r="E24" s="166">
        <v>152857.25</v>
      </c>
      <c r="F24" s="165">
        <f t="shared" si="0"/>
        <v>151593.24</v>
      </c>
      <c r="G24" s="166">
        <f t="shared" si="1"/>
        <v>1264.0100000000093</v>
      </c>
    </row>
    <row r="25" spans="1:9" s="186" customFormat="1" ht="14.25" x14ac:dyDescent="0.2">
      <c r="A25" s="137" t="s">
        <v>27</v>
      </c>
      <c r="B25" s="137" t="s">
        <v>28</v>
      </c>
      <c r="C25" s="201">
        <v>4.5999999999999996</v>
      </c>
      <c r="D25" s="166">
        <v>203301.6</v>
      </c>
      <c r="E25" s="166">
        <v>204381.83</v>
      </c>
      <c r="F25" s="166">
        <f t="shared" si="0"/>
        <v>203301.6</v>
      </c>
      <c r="G25" s="166">
        <f t="shared" si="1"/>
        <v>1080.2299999999814</v>
      </c>
    </row>
    <row r="26" spans="1:9" s="186" customFormat="1" ht="14.25" x14ac:dyDescent="0.2">
      <c r="A26" s="137" t="s">
        <v>29</v>
      </c>
      <c r="B26" s="137" t="s">
        <v>30</v>
      </c>
      <c r="C26" s="201">
        <v>1</v>
      </c>
      <c r="D26" s="166">
        <v>44196</v>
      </c>
      <c r="E26" s="166">
        <v>44533.86</v>
      </c>
      <c r="F26" s="166">
        <f t="shared" si="0"/>
        <v>44196</v>
      </c>
      <c r="G26" s="166">
        <f t="shared" si="1"/>
        <v>337.86000000000058</v>
      </c>
    </row>
    <row r="27" spans="1:9" s="186" customFormat="1" ht="14.25" x14ac:dyDescent="0.2">
      <c r="A27" s="137" t="s">
        <v>31</v>
      </c>
      <c r="B27" s="137" t="s">
        <v>132</v>
      </c>
      <c r="C27" s="201">
        <v>1.82</v>
      </c>
      <c r="D27" s="166">
        <v>80438.64</v>
      </c>
      <c r="E27" s="166">
        <f>81252.13+157.34</f>
        <v>81409.47</v>
      </c>
      <c r="F27" s="172">
        <f>F43</f>
        <v>124833.5447</v>
      </c>
      <c r="G27" s="166">
        <f t="shared" si="1"/>
        <v>970.83000000000175</v>
      </c>
    </row>
    <row r="28" spans="1:9" s="186" customFormat="1" ht="14.25" x14ac:dyDescent="0.2">
      <c r="A28" s="221">
        <v>6</v>
      </c>
      <c r="B28" s="227" t="s">
        <v>248</v>
      </c>
      <c r="C28" s="202">
        <v>1755.25</v>
      </c>
      <c r="D28" s="166">
        <v>12842.2</v>
      </c>
      <c r="E28" s="166">
        <v>12807.7</v>
      </c>
      <c r="F28" s="172">
        <f>D28</f>
        <v>12842.2</v>
      </c>
      <c r="G28" s="166">
        <f t="shared" si="1"/>
        <v>-34.5</v>
      </c>
    </row>
    <row r="29" spans="1:9" s="186" customFormat="1" ht="14.25" x14ac:dyDescent="0.2">
      <c r="A29" s="221">
        <f>A28+1</f>
        <v>7</v>
      </c>
      <c r="B29" s="137" t="s">
        <v>36</v>
      </c>
      <c r="C29" s="201"/>
      <c r="D29" s="166">
        <f>SUM(D30:D33)</f>
        <v>1796801.31</v>
      </c>
      <c r="E29" s="166">
        <f>SUM(E30:E33)</f>
        <v>1775836.44</v>
      </c>
      <c r="F29" s="166">
        <f>SUM(F30:F33)</f>
        <v>1796801.31</v>
      </c>
      <c r="G29" s="166">
        <f>SUM(G30:G33)</f>
        <v>-20964.870000000035</v>
      </c>
    </row>
    <row r="30" spans="1:9" x14ac:dyDescent="0.25">
      <c r="A30" s="98" t="s">
        <v>37</v>
      </c>
      <c r="B30" s="9" t="s">
        <v>106</v>
      </c>
      <c r="C30" s="152" t="s">
        <v>245</v>
      </c>
      <c r="D30" s="68">
        <v>27936.880000000001</v>
      </c>
      <c r="E30" s="68">
        <v>28301.67</v>
      </c>
      <c r="F30" s="68">
        <f>D30</f>
        <v>27936.880000000001</v>
      </c>
      <c r="G30" s="68">
        <f>E30-D30</f>
        <v>364.78999999999724</v>
      </c>
    </row>
    <row r="31" spans="1:9" x14ac:dyDescent="0.25">
      <c r="A31" s="98" t="s">
        <v>39</v>
      </c>
      <c r="B31" s="9" t="s">
        <v>171</v>
      </c>
      <c r="C31" s="152" t="s">
        <v>246</v>
      </c>
      <c r="D31" s="68">
        <v>302600.45</v>
      </c>
      <c r="E31" s="68">
        <v>304560.92</v>
      </c>
      <c r="F31" s="68">
        <f>D31</f>
        <v>302600.45</v>
      </c>
      <c r="G31" s="68">
        <f>E31-D31</f>
        <v>1960.4699999999721</v>
      </c>
    </row>
    <row r="32" spans="1:9" x14ac:dyDescent="0.25">
      <c r="A32" s="98" t="s">
        <v>42</v>
      </c>
      <c r="B32" s="9" t="s">
        <v>173</v>
      </c>
      <c r="C32" s="213" t="s">
        <v>504</v>
      </c>
      <c r="D32" s="68">
        <v>475003.52</v>
      </c>
      <c r="E32" s="68">
        <v>460000.13</v>
      </c>
      <c r="F32" s="68">
        <f>D32</f>
        <v>475003.52</v>
      </c>
      <c r="G32" s="68">
        <f>E32-D32</f>
        <v>-15003.390000000014</v>
      </c>
    </row>
    <row r="33" spans="1:10" x14ac:dyDescent="0.25">
      <c r="A33" s="98" t="s">
        <v>41</v>
      </c>
      <c r="B33" s="9" t="s">
        <v>43</v>
      </c>
      <c r="C33" s="152" t="s">
        <v>247</v>
      </c>
      <c r="D33" s="68">
        <v>991260.46</v>
      </c>
      <c r="E33" s="68">
        <v>982973.72</v>
      </c>
      <c r="F33" s="68">
        <f>D33</f>
        <v>991260.46</v>
      </c>
      <c r="G33" s="68">
        <f>E33-D33</f>
        <v>-8286.7399999999907</v>
      </c>
    </row>
    <row r="34" spans="1:10" s="20" customFormat="1" ht="3.7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120733.51999999979</v>
      </c>
      <c r="E35" s="39"/>
      <c r="F35" s="39"/>
      <c r="G35" s="39"/>
      <c r="H35" s="40"/>
      <c r="I35" s="40"/>
    </row>
    <row r="36" spans="1:10" s="15" customFormat="1" ht="4.5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G15-F55</f>
        <v>-16451.550000000003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-163158.96470000001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7.75" customHeight="1" x14ac:dyDescent="0.25">
      <c r="A40" s="340" t="s">
        <v>44</v>
      </c>
      <c r="B40" s="340"/>
      <c r="C40" s="340"/>
      <c r="D40" s="340"/>
      <c r="E40" s="340"/>
      <c r="F40" s="340"/>
      <c r="G40" s="340"/>
      <c r="H40" s="340"/>
      <c r="I40" s="340"/>
    </row>
    <row r="41" spans="1:10" ht="3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07"/>
    </row>
    <row r="43" spans="1:10" s="12" customFormat="1" ht="12.7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SUM(F44:L54)</f>
        <v>124833.5447</v>
      </c>
      <c r="G43" s="312"/>
    </row>
    <row r="44" spans="1:10" ht="12.75" customHeight="1" x14ac:dyDescent="0.25">
      <c r="A44" s="9" t="s">
        <v>16</v>
      </c>
      <c r="B44" s="298" t="s">
        <v>340</v>
      </c>
      <c r="C44" s="299"/>
      <c r="D44" s="177" t="s">
        <v>255</v>
      </c>
      <c r="E44" s="177">
        <v>5</v>
      </c>
      <c r="F44" s="329">
        <v>2399.0700000000002</v>
      </c>
      <c r="G44" s="330"/>
    </row>
    <row r="45" spans="1:10" ht="12.75" customHeight="1" x14ac:dyDescent="0.25">
      <c r="A45" s="9" t="s">
        <v>18</v>
      </c>
      <c r="B45" s="298" t="s">
        <v>341</v>
      </c>
      <c r="C45" s="299"/>
      <c r="D45" s="177" t="s">
        <v>295</v>
      </c>
      <c r="E45" s="177">
        <v>12.5</v>
      </c>
      <c r="F45" s="315">
        <v>2188.98</v>
      </c>
      <c r="G45" s="315"/>
    </row>
    <row r="46" spans="1:10" ht="12.75" customHeight="1" x14ac:dyDescent="0.25">
      <c r="A46" s="9" t="s">
        <v>20</v>
      </c>
      <c r="B46" s="298" t="s">
        <v>342</v>
      </c>
      <c r="C46" s="299"/>
      <c r="D46" s="177" t="s">
        <v>262</v>
      </c>
      <c r="E46" s="177">
        <v>1</v>
      </c>
      <c r="F46" s="329">
        <v>1160</v>
      </c>
      <c r="G46" s="330"/>
    </row>
    <row r="47" spans="1:10" ht="12.75" customHeight="1" x14ac:dyDescent="0.25">
      <c r="A47" s="9" t="s">
        <v>22</v>
      </c>
      <c r="B47" s="298" t="s">
        <v>343</v>
      </c>
      <c r="C47" s="299"/>
      <c r="D47" s="177"/>
      <c r="E47" s="177"/>
      <c r="F47" s="329">
        <v>6721.46</v>
      </c>
      <c r="G47" s="330"/>
    </row>
    <row r="48" spans="1:10" ht="12.75" customHeight="1" x14ac:dyDescent="0.25">
      <c r="A48" s="9" t="s">
        <v>24</v>
      </c>
      <c r="B48" s="298" t="s">
        <v>300</v>
      </c>
      <c r="C48" s="299"/>
      <c r="D48" s="177" t="s">
        <v>262</v>
      </c>
      <c r="E48" s="177">
        <v>2</v>
      </c>
      <c r="F48" s="329">
        <v>11884.98</v>
      </c>
      <c r="G48" s="330"/>
    </row>
    <row r="49" spans="1:7" ht="12.75" customHeight="1" x14ac:dyDescent="0.25">
      <c r="A49" s="9" t="s">
        <v>117</v>
      </c>
      <c r="B49" s="298" t="s">
        <v>232</v>
      </c>
      <c r="C49" s="299"/>
      <c r="D49" s="177" t="s">
        <v>295</v>
      </c>
      <c r="E49" s="177">
        <v>100</v>
      </c>
      <c r="F49" s="329">
        <v>1958.4</v>
      </c>
      <c r="G49" s="330"/>
    </row>
    <row r="50" spans="1:7" ht="12.75" customHeight="1" x14ac:dyDescent="0.25">
      <c r="A50" s="9" t="s">
        <v>118</v>
      </c>
      <c r="B50" s="298" t="s">
        <v>344</v>
      </c>
      <c r="C50" s="299"/>
      <c r="D50" s="177" t="s">
        <v>345</v>
      </c>
      <c r="E50" s="228">
        <v>0.129</v>
      </c>
      <c r="F50" s="329">
        <v>82826.559999999998</v>
      </c>
      <c r="G50" s="330"/>
    </row>
    <row r="51" spans="1:7" ht="12.75" customHeight="1" x14ac:dyDescent="0.25">
      <c r="A51" s="9" t="s">
        <v>133</v>
      </c>
      <c r="B51" s="298" t="s">
        <v>346</v>
      </c>
      <c r="C51" s="299"/>
      <c r="D51" s="177"/>
      <c r="E51" s="177"/>
      <c r="F51" s="329">
        <v>680</v>
      </c>
      <c r="G51" s="330"/>
    </row>
    <row r="52" spans="1:7" ht="12.75" customHeight="1" x14ac:dyDescent="0.25">
      <c r="A52" s="9" t="s">
        <v>134</v>
      </c>
      <c r="B52" s="298" t="s">
        <v>279</v>
      </c>
      <c r="C52" s="299"/>
      <c r="D52" s="177" t="s">
        <v>280</v>
      </c>
      <c r="E52" s="177">
        <v>2</v>
      </c>
      <c r="F52" s="329">
        <v>10200</v>
      </c>
      <c r="G52" s="330"/>
    </row>
    <row r="53" spans="1:7" ht="12.75" customHeight="1" x14ac:dyDescent="0.25">
      <c r="A53" s="9" t="s">
        <v>135</v>
      </c>
      <c r="B53" s="298" t="s">
        <v>237</v>
      </c>
      <c r="C53" s="299"/>
      <c r="D53" s="177"/>
      <c r="E53" s="177"/>
      <c r="F53" s="329">
        <v>4000</v>
      </c>
      <c r="G53" s="330"/>
    </row>
    <row r="54" spans="1:7" ht="12.75" customHeight="1" x14ac:dyDescent="0.25">
      <c r="A54" s="9" t="s">
        <v>174</v>
      </c>
      <c r="B54" s="149" t="s">
        <v>533</v>
      </c>
      <c r="C54" s="150"/>
      <c r="D54" s="177"/>
      <c r="E54" s="177"/>
      <c r="F54" s="315">
        <f>E27*1%</f>
        <v>814.09469999999999</v>
      </c>
      <c r="G54" s="315"/>
    </row>
    <row r="55" spans="1:7" ht="12.75" customHeight="1" x14ac:dyDescent="0.25">
      <c r="A55" s="136">
        <v>2</v>
      </c>
      <c r="B55" s="308" t="s">
        <v>528</v>
      </c>
      <c r="C55" s="309"/>
      <c r="D55" s="176"/>
      <c r="E55" s="176"/>
      <c r="F55" s="316">
        <f>SUM(F56:L56)</f>
        <v>76910.210000000006</v>
      </c>
      <c r="G55" s="312"/>
    </row>
    <row r="56" spans="1:7" ht="12.75" customHeight="1" x14ac:dyDescent="0.25">
      <c r="A56" s="9" t="s">
        <v>104</v>
      </c>
      <c r="B56" s="298" t="s">
        <v>529</v>
      </c>
      <c r="C56" s="299"/>
      <c r="D56" s="177" t="s">
        <v>262</v>
      </c>
      <c r="E56" s="177">
        <v>2</v>
      </c>
      <c r="F56" s="329">
        <v>76910.210000000006</v>
      </c>
      <c r="G56" s="330"/>
    </row>
    <row r="57" spans="1:7" ht="12.75" customHeight="1" x14ac:dyDescent="0.25">
      <c r="A57" s="3"/>
      <c r="B57" s="3"/>
      <c r="C57" s="3"/>
      <c r="D57" s="3"/>
      <c r="E57" s="3"/>
      <c r="F57" s="3"/>
      <c r="G57" s="3"/>
    </row>
    <row r="58" spans="1:7" s="48" customFormat="1" ht="12.75" customHeight="1" x14ac:dyDescent="0.25">
      <c r="A58" s="3" t="s">
        <v>55</v>
      </c>
      <c r="B58" s="3"/>
      <c r="C58" s="3" t="s">
        <v>49</v>
      </c>
      <c r="D58" s="3"/>
      <c r="E58" s="3"/>
      <c r="F58" s="3" t="s">
        <v>102</v>
      </c>
      <c r="G58" s="3"/>
    </row>
    <row r="59" spans="1:7" s="48" customFormat="1" ht="12.75" customHeight="1" x14ac:dyDescent="0.25">
      <c r="A59" s="3"/>
      <c r="B59" s="3"/>
      <c r="C59" s="3"/>
      <c r="D59" s="3"/>
      <c r="E59" s="3"/>
      <c r="F59" s="4" t="s">
        <v>265</v>
      </c>
      <c r="G59" s="3"/>
    </row>
    <row r="60" spans="1:7" s="3" customFormat="1" x14ac:dyDescent="0.25">
      <c r="A60" s="3" t="s">
        <v>50</v>
      </c>
    </row>
    <row r="61" spans="1:7" s="3" customFormat="1" x14ac:dyDescent="0.25">
      <c r="C61" s="14" t="s">
        <v>51</v>
      </c>
      <c r="E61" s="14"/>
      <c r="F61" s="14"/>
      <c r="G61" s="14"/>
    </row>
    <row r="62" spans="1:7" x14ac:dyDescent="0.25">
      <c r="A62" s="3"/>
      <c r="B62" s="3"/>
      <c r="C62" s="3"/>
      <c r="D62" s="3"/>
      <c r="E62" s="3"/>
      <c r="F62" s="3"/>
      <c r="G62" s="3"/>
    </row>
    <row r="63" spans="1:7" x14ac:dyDescent="0.25">
      <c r="A63" s="3"/>
      <c r="B63" s="3"/>
      <c r="C63" s="3"/>
      <c r="D63" s="3"/>
      <c r="E63" s="3"/>
      <c r="F63" s="3"/>
      <c r="G63" s="3"/>
    </row>
  </sheetData>
  <mergeCells count="39">
    <mergeCell ref="B55:C55"/>
    <mergeCell ref="F55:G55"/>
    <mergeCell ref="B56:C56"/>
    <mergeCell ref="F56:G56"/>
    <mergeCell ref="B50:C50"/>
    <mergeCell ref="B51:C51"/>
    <mergeCell ref="B52:C52"/>
    <mergeCell ref="B53:C53"/>
    <mergeCell ref="F54:G54"/>
    <mergeCell ref="F52:G52"/>
    <mergeCell ref="F53:G53"/>
    <mergeCell ref="F51:G51"/>
    <mergeCell ref="F50:G50"/>
    <mergeCell ref="F49:G49"/>
    <mergeCell ref="F47:G47"/>
    <mergeCell ref="F48:G48"/>
    <mergeCell ref="B42:C42"/>
    <mergeCell ref="B43:C43"/>
    <mergeCell ref="B44:C44"/>
    <mergeCell ref="F42:G42"/>
    <mergeCell ref="F43:G43"/>
    <mergeCell ref="F44:G44"/>
    <mergeCell ref="F45:G45"/>
    <mergeCell ref="F46:G46"/>
    <mergeCell ref="B45:C45"/>
    <mergeCell ref="B46:C46"/>
    <mergeCell ref="B47:C47"/>
    <mergeCell ref="B48:C48"/>
    <mergeCell ref="B49:C49"/>
    <mergeCell ref="A12:I12"/>
    <mergeCell ref="A40:I40"/>
    <mergeCell ref="A13:C13"/>
    <mergeCell ref="A35:C35"/>
    <mergeCell ref="A1:I1"/>
    <mergeCell ref="A2:I2"/>
    <mergeCell ref="A5:I5"/>
    <mergeCell ref="A10:I10"/>
    <mergeCell ref="A11:I11"/>
    <mergeCell ref="A3:K3"/>
  </mergeCells>
  <phoneticPr fontId="18" type="noConversion"/>
  <pageMargins left="0" right="0" top="0" bottom="0" header="0.31496062992125984" footer="0.31496062992125984"/>
  <pageSetup paperSize="9" scale="98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36" sqref="G36"/>
    </sheetView>
  </sheetViews>
  <sheetFormatPr defaultRowHeight="15" outlineLevelCol="1" x14ac:dyDescent="0.25"/>
  <cols>
    <col min="1" max="1" width="4.85546875" style="1" customWidth="1"/>
    <col min="2" max="2" width="48" style="1" bestFit="1" customWidth="1"/>
    <col min="3" max="3" width="12.42578125" style="1" customWidth="1"/>
    <col min="4" max="5" width="13" style="1" customWidth="1"/>
    <col min="6" max="6" width="13.7109375" style="1" customWidth="1"/>
    <col min="7" max="7" width="13.285156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5.2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F7" s="4" t="s">
        <v>121</v>
      </c>
    </row>
    <row r="8" spans="1:11" s="3" customFormat="1" x14ac:dyDescent="0.25">
      <c r="A8" s="3" t="s">
        <v>3</v>
      </c>
      <c r="F8" s="4" t="s">
        <v>122</v>
      </c>
    </row>
    <row r="9" spans="1:11" s="3" customFormat="1" ht="5.25" customHeight="1" x14ac:dyDescent="0.25"/>
    <row r="10" spans="1:11" s="3" customFormat="1" ht="12" customHeigh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ht="12" customHeigh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2" customHeight="1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225627.85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119915.11</v>
      </c>
      <c r="H15" s="40"/>
      <c r="I15" s="40"/>
    </row>
    <row r="16" spans="1:11" s="15" customFormat="1" ht="15.75" thickBot="1" x14ac:dyDescent="0.3">
      <c r="A16" s="147" t="s">
        <v>215</v>
      </c>
      <c r="B16" s="148"/>
      <c r="C16" s="148"/>
      <c r="D16" s="44"/>
      <c r="E16" s="45"/>
      <c r="F16" s="45"/>
      <c r="G16" s="38">
        <v>103165.32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253105.92000000001</v>
      </c>
      <c r="E19" s="165">
        <v>250857.53</v>
      </c>
      <c r="F19" s="165">
        <f t="shared" ref="F19:F26" si="0">D19</f>
        <v>253105.92000000001</v>
      </c>
      <c r="G19" s="166">
        <f t="shared" ref="G19:G28" si="1">E19-D19</f>
        <v>-2248.390000000014</v>
      </c>
      <c r="H19" s="71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91177.337263157897</v>
      </c>
      <c r="E20" s="67">
        <f>E19*I20</f>
        <v>90367.390923976607</v>
      </c>
      <c r="F20" s="67">
        <f t="shared" si="0"/>
        <v>91177.337263157897</v>
      </c>
      <c r="G20" s="68">
        <f t="shared" si="1"/>
        <v>-809.94633918128966</v>
      </c>
      <c r="H20" s="71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44700.577684210526</v>
      </c>
      <c r="E21" s="67">
        <f>E19*I21</f>
        <v>44303.493602339178</v>
      </c>
      <c r="F21" s="67">
        <f t="shared" si="0"/>
        <v>44700.577684210526</v>
      </c>
      <c r="G21" s="68">
        <f t="shared" si="1"/>
        <v>-397.08408187134773</v>
      </c>
      <c r="H21" s="71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40260.122947368422</v>
      </c>
      <c r="E22" s="67">
        <f>E19*I22</f>
        <v>39902.484304093567</v>
      </c>
      <c r="F22" s="67">
        <f t="shared" si="0"/>
        <v>40260.122947368422</v>
      </c>
      <c r="G22" s="68">
        <f t="shared" si="1"/>
        <v>-357.63864327485499</v>
      </c>
      <c r="H22" s="71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76967.882105263154</v>
      </c>
      <c r="E23" s="67">
        <f>E19*I23</f>
        <v>76284.161169590632</v>
      </c>
      <c r="F23" s="67">
        <f t="shared" si="0"/>
        <v>76967.882105263154</v>
      </c>
      <c r="G23" s="68">
        <f t="shared" si="1"/>
        <v>-683.72093567252159</v>
      </c>
      <c r="H23" s="71">
        <f t="shared" si="2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136172.88</v>
      </c>
      <c r="E25" s="166">
        <v>134022.96</v>
      </c>
      <c r="F25" s="166">
        <f t="shared" si="0"/>
        <v>136172.88</v>
      </c>
      <c r="G25" s="166">
        <f t="shared" si="1"/>
        <v>-2149.9200000000128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48846.6</v>
      </c>
      <c r="E27" s="166">
        <v>48867.98</v>
      </c>
      <c r="F27" s="172">
        <f>F42</f>
        <v>51318.289799999999</v>
      </c>
      <c r="G27" s="166">
        <f t="shared" si="1"/>
        <v>21.380000000004657</v>
      </c>
    </row>
    <row r="28" spans="1:9" s="111" customFormat="1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495.68</v>
      </c>
      <c r="F28" s="172">
        <v>0</v>
      </c>
      <c r="G28" s="166">
        <f t="shared" si="1"/>
        <v>495.68</v>
      </c>
      <c r="H28" s="1"/>
      <c r="I28" s="1"/>
    </row>
    <row r="29" spans="1:9" x14ac:dyDescent="0.25">
      <c r="A29" s="137" t="s">
        <v>35</v>
      </c>
      <c r="B29" s="36" t="s">
        <v>36</v>
      </c>
      <c r="C29" s="201"/>
      <c r="D29" s="166">
        <f>SUM(D30:D33)</f>
        <v>1276756.27</v>
      </c>
      <c r="E29" s="166">
        <f>SUM(E30:E33)</f>
        <v>1232959.3700000001</v>
      </c>
      <c r="F29" s="166">
        <f>SUM(F30:F33)</f>
        <v>1276756.27</v>
      </c>
      <c r="G29" s="166">
        <f>SUM(G30:G33)</f>
        <v>-43796.899999999936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26739.48</v>
      </c>
      <c r="E30" s="68">
        <v>26615.07</v>
      </c>
      <c r="F30" s="68">
        <f>D30</f>
        <v>26739.48</v>
      </c>
      <c r="G30" s="68">
        <f>E30-D30</f>
        <v>-124.40999999999985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358274.67</v>
      </c>
      <c r="E31" s="68">
        <v>340281.9</v>
      </c>
      <c r="F31" s="68">
        <f>D31</f>
        <v>358274.67</v>
      </c>
      <c r="G31" s="68">
        <f>E31-D31</f>
        <v>-17992.76999999996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26.25" thickBot="1" x14ac:dyDescent="0.3">
      <c r="A33" s="9" t="s">
        <v>41</v>
      </c>
      <c r="B33" s="9" t="s">
        <v>43</v>
      </c>
      <c r="C33" s="152" t="s">
        <v>247</v>
      </c>
      <c r="D33" s="68">
        <v>891742.12</v>
      </c>
      <c r="E33" s="68">
        <v>866062.4</v>
      </c>
      <c r="F33" s="68">
        <f>D33</f>
        <v>891742.12</v>
      </c>
      <c r="G33" s="68">
        <f>E33-D33</f>
        <v>-25679.719999999972</v>
      </c>
      <c r="H33" s="22"/>
      <c r="I33" s="22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273306</v>
      </c>
      <c r="E34" s="39"/>
      <c r="F34" s="39"/>
      <c r="G34" s="39"/>
      <c r="H34" s="40"/>
      <c r="I34" s="40"/>
      <c r="J34" s="22"/>
    </row>
    <row r="35" spans="1:10" s="15" customFormat="1" ht="8.2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147" t="s">
        <v>242</v>
      </c>
      <c r="B36" s="148"/>
      <c r="C36" s="148"/>
      <c r="D36" s="44"/>
      <c r="E36" s="45"/>
      <c r="F36" s="45"/>
      <c r="G36" s="38">
        <f>G15+E28-F28</f>
        <v>120410.79</v>
      </c>
      <c r="H36" s="40"/>
      <c r="I36" s="40"/>
    </row>
    <row r="37" spans="1:10" s="15" customFormat="1" ht="15.75" thickBot="1" x14ac:dyDescent="0.3">
      <c r="A37" s="147" t="s">
        <v>243</v>
      </c>
      <c r="B37" s="148"/>
      <c r="C37" s="148"/>
      <c r="D37" s="44"/>
      <c r="E37" s="45"/>
      <c r="F37" s="45"/>
      <c r="G37" s="38">
        <f>G16+E27-F27</f>
        <v>100715.01020000002</v>
      </c>
      <c r="H37" s="40"/>
      <c r="I37" s="40"/>
    </row>
    <row r="38" spans="1:10" s="15" customFormat="1" x14ac:dyDescent="0.25">
      <c r="A38" s="151"/>
      <c r="B38" s="41"/>
      <c r="C38" s="41"/>
      <c r="D38" s="42"/>
      <c r="E38" s="39"/>
      <c r="F38" s="39"/>
      <c r="G38" s="42"/>
      <c r="H38" s="40"/>
      <c r="I38" s="40"/>
    </row>
    <row r="39" spans="1:10" ht="27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3.75" customHeight="1" x14ac:dyDescent="0.25"/>
    <row r="41" spans="1:10" s="7" customFormat="1" ht="28.5" customHeight="1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</row>
    <row r="42" spans="1:10" s="12" customFormat="1" ht="12.75" customHeigh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SUM(F43:L46)</f>
        <v>51318.289799999999</v>
      </c>
      <c r="G42" s="312"/>
    </row>
    <row r="43" spans="1:10" ht="12.75" customHeight="1" x14ac:dyDescent="0.25">
      <c r="A43" s="9" t="s">
        <v>16</v>
      </c>
      <c r="B43" s="298" t="s">
        <v>347</v>
      </c>
      <c r="C43" s="299"/>
      <c r="D43" s="177" t="s">
        <v>262</v>
      </c>
      <c r="E43" s="177">
        <v>1</v>
      </c>
      <c r="F43" s="329">
        <v>5785.61</v>
      </c>
      <c r="G43" s="330"/>
    </row>
    <row r="44" spans="1:10" ht="12.75" customHeight="1" x14ac:dyDescent="0.25">
      <c r="A44" s="9" t="s">
        <v>18</v>
      </c>
      <c r="B44" s="298" t="s">
        <v>279</v>
      </c>
      <c r="C44" s="299"/>
      <c r="D44" s="177" t="s">
        <v>280</v>
      </c>
      <c r="E44" s="177">
        <v>2</v>
      </c>
      <c r="F44" s="315">
        <v>10200</v>
      </c>
      <c r="G44" s="315"/>
    </row>
    <row r="45" spans="1:10" ht="12.75" customHeight="1" x14ac:dyDescent="0.25">
      <c r="A45" s="9" t="s">
        <v>20</v>
      </c>
      <c r="B45" s="298" t="s">
        <v>557</v>
      </c>
      <c r="C45" s="299"/>
      <c r="D45" s="177" t="s">
        <v>292</v>
      </c>
      <c r="E45" s="177">
        <v>0.3</v>
      </c>
      <c r="F45" s="315">
        <v>34844</v>
      </c>
      <c r="G45" s="315"/>
    </row>
    <row r="46" spans="1:10" x14ac:dyDescent="0.25">
      <c r="A46" s="9" t="s">
        <v>22</v>
      </c>
      <c r="B46" s="149" t="s">
        <v>533</v>
      </c>
      <c r="C46" s="150"/>
      <c r="D46" s="177"/>
      <c r="E46" s="177"/>
      <c r="F46" s="315">
        <f>E27*1%</f>
        <v>488.67980000000006</v>
      </c>
      <c r="G46" s="315"/>
    </row>
    <row r="47" spans="1:10" x14ac:dyDescent="0.25">
      <c r="A47" s="3"/>
      <c r="B47" s="3"/>
      <c r="C47" s="3"/>
      <c r="D47" s="3"/>
      <c r="E47" s="3"/>
      <c r="F47" s="3"/>
      <c r="G47" s="3"/>
    </row>
    <row r="48" spans="1:10" x14ac:dyDescent="0.25">
      <c r="A48" s="3" t="s">
        <v>55</v>
      </c>
      <c r="B48" s="3"/>
      <c r="C48" s="3" t="s">
        <v>49</v>
      </c>
      <c r="D48" s="3"/>
      <c r="E48" s="3"/>
      <c r="F48" s="3" t="s">
        <v>102</v>
      </c>
      <c r="G48" s="3"/>
    </row>
    <row r="49" spans="1:7" x14ac:dyDescent="0.25">
      <c r="A49" s="3"/>
      <c r="B49" s="3"/>
      <c r="C49" s="3"/>
      <c r="D49" s="3"/>
      <c r="E49" s="3"/>
      <c r="F49" s="4" t="s">
        <v>265</v>
      </c>
      <c r="G49" s="3"/>
    </row>
    <row r="50" spans="1:7" x14ac:dyDescent="0.25">
      <c r="A50" s="3" t="s">
        <v>50</v>
      </c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14" t="s">
        <v>51</v>
      </c>
      <c r="D51" s="3"/>
      <c r="E51" s="14"/>
      <c r="F51" s="14"/>
      <c r="G51" s="14"/>
    </row>
  </sheetData>
  <mergeCells count="21">
    <mergeCell ref="F46:G46"/>
    <mergeCell ref="B41:C41"/>
    <mergeCell ref="B42:C42"/>
    <mergeCell ref="B43:C43"/>
    <mergeCell ref="B44:C44"/>
    <mergeCell ref="F41:G41"/>
    <mergeCell ref="F43:G43"/>
    <mergeCell ref="F44:G44"/>
    <mergeCell ref="F42:G42"/>
    <mergeCell ref="B45:C45"/>
    <mergeCell ref="F45:G45"/>
    <mergeCell ref="A12:I12"/>
    <mergeCell ref="A39:I39"/>
    <mergeCell ref="A1:I1"/>
    <mergeCell ref="A2:I2"/>
    <mergeCell ref="A5:I5"/>
    <mergeCell ref="A10:I10"/>
    <mergeCell ref="A3:K3"/>
    <mergeCell ref="A11:I11"/>
    <mergeCell ref="A13:C13"/>
    <mergeCell ref="A34:C34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F44" sqref="F44:G44"/>
    </sheetView>
  </sheetViews>
  <sheetFormatPr defaultRowHeight="15" outlineLevelCol="1" x14ac:dyDescent="0.25"/>
  <cols>
    <col min="1" max="1" width="5.5703125" style="1" customWidth="1"/>
    <col min="2" max="2" width="49.28515625" style="1" customWidth="1"/>
    <col min="3" max="3" width="13" style="1" customWidth="1"/>
    <col min="4" max="4" width="13.42578125" style="1" customWidth="1"/>
    <col min="5" max="5" width="13.85546875" style="1" customWidth="1"/>
    <col min="6" max="6" width="12.85546875" style="1" customWidth="1"/>
    <col min="7" max="7" width="13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6" customHeight="1" x14ac:dyDescent="0.25"/>
    <row r="7" spans="1:11" s="3" customFormat="1" ht="16.5" customHeight="1" x14ac:dyDescent="0.25">
      <c r="A7" s="3" t="s">
        <v>2</v>
      </c>
      <c r="F7" s="4" t="s">
        <v>123</v>
      </c>
    </row>
    <row r="8" spans="1:11" s="3" customFormat="1" x14ac:dyDescent="0.25">
      <c r="A8" s="3" t="s">
        <v>3</v>
      </c>
      <c r="F8" s="4" t="s">
        <v>152</v>
      </c>
    </row>
    <row r="9" spans="1:11" s="3" customFormat="1" ht="4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85907.3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215</v>
      </c>
      <c r="B15" s="43"/>
      <c r="C15" s="43"/>
      <c r="D15" s="44"/>
      <c r="E15" s="45"/>
      <c r="F15" s="45"/>
      <c r="G15" s="38">
        <v>163169.96</v>
      </c>
      <c r="H15" s="40"/>
      <c r="I15" s="40"/>
    </row>
    <row r="16" spans="1:11" s="3" customFormat="1" ht="6.75" customHeight="1" x14ac:dyDescent="0.25"/>
    <row r="17" spans="1:16" s="18" customFormat="1" ht="38.25" x14ac:dyDescent="0.25">
      <c r="A17" s="6" t="s">
        <v>11</v>
      </c>
      <c r="B17" s="6" t="s">
        <v>12</v>
      </c>
      <c r="C17" s="6" t="s">
        <v>103</v>
      </c>
      <c r="D17" s="129" t="s">
        <v>252</v>
      </c>
      <c r="E17" s="129" t="s">
        <v>249</v>
      </c>
      <c r="F17" s="130" t="s">
        <v>257</v>
      </c>
      <c r="G17" s="129" t="s">
        <v>251</v>
      </c>
    </row>
    <row r="18" spans="1:16" s="3" customFormat="1" x14ac:dyDescent="0.25">
      <c r="A18" s="187" t="s">
        <v>14</v>
      </c>
      <c r="B18" s="137" t="s">
        <v>15</v>
      </c>
      <c r="C18" s="201">
        <f>SUM(C19:C22)</f>
        <v>8.9599999999999991</v>
      </c>
      <c r="D18" s="165">
        <v>223491.12</v>
      </c>
      <c r="E18" s="165">
        <v>218282.06</v>
      </c>
      <c r="F18" s="165">
        <f t="shared" ref="F18:F25" si="0">D18</f>
        <v>223491.12</v>
      </c>
      <c r="G18" s="166">
        <f>E18-D18</f>
        <v>-5209.0599999999977</v>
      </c>
      <c r="H18" s="70">
        <f>C18</f>
        <v>8.9599999999999991</v>
      </c>
      <c r="I18" s="190"/>
      <c r="N18" s="65"/>
      <c r="O18" s="65"/>
      <c r="P18" s="65"/>
    </row>
    <row r="19" spans="1:16" s="3" customFormat="1" x14ac:dyDescent="0.25">
      <c r="A19" s="8" t="s">
        <v>16</v>
      </c>
      <c r="B19" s="9" t="s">
        <v>17</v>
      </c>
      <c r="C19" s="157">
        <v>3.08</v>
      </c>
      <c r="D19" s="67">
        <f>D18*I19</f>
        <v>76825.072500000009</v>
      </c>
      <c r="E19" s="67">
        <f>E18*I19</f>
        <v>75034.458125000005</v>
      </c>
      <c r="F19" s="67">
        <f t="shared" si="0"/>
        <v>76825.072500000009</v>
      </c>
      <c r="G19" s="68">
        <f t="shared" ref="G19:G27" si="1">E19-D19</f>
        <v>-1790.6143750000047</v>
      </c>
      <c r="H19" s="70">
        <f t="shared" ref="H19:H22" si="2">C19</f>
        <v>3.08</v>
      </c>
      <c r="I19" s="15">
        <f>H19/H18</f>
        <v>0.34375000000000006</v>
      </c>
    </row>
    <row r="20" spans="1:16" s="3" customFormat="1" x14ac:dyDescent="0.25">
      <c r="A20" s="8" t="s">
        <v>18</v>
      </c>
      <c r="B20" s="9" t="s">
        <v>19</v>
      </c>
      <c r="C20" s="157">
        <v>1.47</v>
      </c>
      <c r="D20" s="67">
        <f>D18*I20</f>
        <v>36666.511875000004</v>
      </c>
      <c r="E20" s="67">
        <f>E18*I20</f>
        <v>35811.900468750006</v>
      </c>
      <c r="F20" s="67">
        <f t="shared" si="0"/>
        <v>36666.511875000004</v>
      </c>
      <c r="G20" s="68">
        <f t="shared" si="1"/>
        <v>-854.61140624999825</v>
      </c>
      <c r="H20" s="70">
        <f t="shared" si="2"/>
        <v>1.47</v>
      </c>
      <c r="I20" s="15">
        <f>H20/H18</f>
        <v>0.16406250000000003</v>
      </c>
    </row>
    <row r="21" spans="1:16" s="3" customFormat="1" x14ac:dyDescent="0.25">
      <c r="A21" s="8" t="s">
        <v>20</v>
      </c>
      <c r="B21" s="9" t="s">
        <v>21</v>
      </c>
      <c r="C21" s="157">
        <v>1.81</v>
      </c>
      <c r="D21" s="67">
        <f>D18*I21</f>
        <v>45147.201696428579</v>
      </c>
      <c r="E21" s="67">
        <f>E18*I21</f>
        <v>44094.925066964293</v>
      </c>
      <c r="F21" s="67">
        <f t="shared" si="0"/>
        <v>45147.201696428579</v>
      </c>
      <c r="G21" s="68">
        <f t="shared" si="1"/>
        <v>-1052.2766294642861</v>
      </c>
      <c r="H21" s="70">
        <f t="shared" si="2"/>
        <v>1.81</v>
      </c>
      <c r="I21" s="15">
        <f>H21/H18</f>
        <v>0.2020089285714286</v>
      </c>
    </row>
    <row r="22" spans="1:16" s="3" customFormat="1" x14ac:dyDescent="0.25">
      <c r="A22" s="8" t="s">
        <v>22</v>
      </c>
      <c r="B22" s="9" t="s">
        <v>23</v>
      </c>
      <c r="C22" s="152">
        <v>2.6</v>
      </c>
      <c r="D22" s="67">
        <f>D18*I22</f>
        <v>64852.333928571432</v>
      </c>
      <c r="E22" s="67">
        <f>E18*I22</f>
        <v>63340.776339285716</v>
      </c>
      <c r="F22" s="67">
        <f t="shared" si="0"/>
        <v>64852.333928571432</v>
      </c>
      <c r="G22" s="68">
        <f t="shared" si="1"/>
        <v>-1511.5575892857159</v>
      </c>
      <c r="H22" s="70">
        <f t="shared" si="2"/>
        <v>2.6</v>
      </c>
      <c r="I22" s="15">
        <f>H22/H18</f>
        <v>0.29017857142857145</v>
      </c>
    </row>
    <row r="23" spans="1:16" x14ac:dyDescent="0.25">
      <c r="A23" s="137" t="s">
        <v>25</v>
      </c>
      <c r="B23" s="137" t="s">
        <v>26</v>
      </c>
      <c r="C23" s="201">
        <v>0</v>
      </c>
      <c r="D23" s="166">
        <v>0</v>
      </c>
      <c r="E23" s="166">
        <v>0</v>
      </c>
      <c r="F23" s="165">
        <f t="shared" si="0"/>
        <v>0</v>
      </c>
      <c r="G23" s="166">
        <f t="shared" si="1"/>
        <v>0</v>
      </c>
      <c r="H23" s="186"/>
      <c r="I23" s="186"/>
    </row>
    <row r="24" spans="1:16" x14ac:dyDescent="0.25">
      <c r="A24" s="137" t="s">
        <v>27</v>
      </c>
      <c r="B24" s="137" t="s">
        <v>28</v>
      </c>
      <c r="C24" s="201">
        <v>4.5999999999999996</v>
      </c>
      <c r="D24" s="166">
        <v>114738.72</v>
      </c>
      <c r="E24" s="166">
        <v>112215.44</v>
      </c>
      <c r="F24" s="166">
        <f t="shared" si="0"/>
        <v>114738.72</v>
      </c>
      <c r="G24" s="166">
        <f t="shared" si="1"/>
        <v>-2523.2799999999988</v>
      </c>
      <c r="H24" s="186"/>
      <c r="I24" s="186"/>
    </row>
    <row r="25" spans="1:16" x14ac:dyDescent="0.25">
      <c r="A25" s="137" t="s">
        <v>29</v>
      </c>
      <c r="B25" s="137" t="s">
        <v>30</v>
      </c>
      <c r="C25" s="201">
        <v>0</v>
      </c>
      <c r="D25" s="166">
        <v>0</v>
      </c>
      <c r="E25" s="166">
        <v>0</v>
      </c>
      <c r="F25" s="166">
        <f t="shared" si="0"/>
        <v>0</v>
      </c>
      <c r="G25" s="166">
        <f t="shared" si="1"/>
        <v>0</v>
      </c>
      <c r="H25" s="186"/>
      <c r="I25" s="186"/>
    </row>
    <row r="26" spans="1:16" x14ac:dyDescent="0.25">
      <c r="A26" s="137" t="s">
        <v>31</v>
      </c>
      <c r="B26" s="137" t="s">
        <v>132</v>
      </c>
      <c r="C26" s="201">
        <v>1.82</v>
      </c>
      <c r="D26" s="166">
        <v>45396.84</v>
      </c>
      <c r="E26" s="166">
        <v>44501.89</v>
      </c>
      <c r="F26" s="172">
        <f>F41</f>
        <v>15421.3089</v>
      </c>
      <c r="G26" s="166">
        <f t="shared" si="1"/>
        <v>-894.94999999999709</v>
      </c>
      <c r="H26" s="186"/>
      <c r="I26" s="186"/>
    </row>
    <row r="27" spans="1:16" x14ac:dyDescent="0.25">
      <c r="A27" s="221">
        <v>6</v>
      </c>
      <c r="B27" s="227" t="s">
        <v>248</v>
      </c>
      <c r="C27" s="202">
        <v>1755.25</v>
      </c>
      <c r="D27" s="166">
        <v>12403.8</v>
      </c>
      <c r="E27" s="166">
        <v>12133.02</v>
      </c>
      <c r="F27" s="172">
        <f>D27</f>
        <v>12403.8</v>
      </c>
      <c r="G27" s="166">
        <f t="shared" si="1"/>
        <v>-270.77999999999884</v>
      </c>
      <c r="H27" s="186"/>
      <c r="I27" s="186"/>
    </row>
    <row r="28" spans="1:16" x14ac:dyDescent="0.25">
      <c r="A28" s="221">
        <f>A27+1</f>
        <v>7</v>
      </c>
      <c r="B28" s="137" t="s">
        <v>36</v>
      </c>
      <c r="C28" s="201"/>
      <c r="D28" s="166">
        <f>SUM(D29:D32)</f>
        <v>1260711.77</v>
      </c>
      <c r="E28" s="166">
        <f>SUM(E29:E32)</f>
        <v>1243295.1000000001</v>
      </c>
      <c r="F28" s="166">
        <f>SUM(F29:F32)</f>
        <v>1260711.77</v>
      </c>
      <c r="G28" s="166">
        <f>SUM(G29:G32)</f>
        <v>-17416.669999999955</v>
      </c>
      <c r="H28" s="186"/>
      <c r="I28" s="186"/>
    </row>
    <row r="29" spans="1:16" x14ac:dyDescent="0.25">
      <c r="A29" s="98" t="s">
        <v>37</v>
      </c>
      <c r="B29" s="9" t="s">
        <v>106</v>
      </c>
      <c r="C29" s="152" t="s">
        <v>245</v>
      </c>
      <c r="D29" s="68">
        <v>14050.13</v>
      </c>
      <c r="E29" s="68">
        <v>13698.38</v>
      </c>
      <c r="F29" s="68">
        <f>D29</f>
        <v>14050.13</v>
      </c>
      <c r="G29" s="68">
        <f>E29-D29</f>
        <v>-351.75</v>
      </c>
    </row>
    <row r="30" spans="1:16" x14ac:dyDescent="0.25">
      <c r="A30" s="98" t="s">
        <v>39</v>
      </c>
      <c r="B30" s="9" t="s">
        <v>171</v>
      </c>
      <c r="C30" s="152" t="s">
        <v>246</v>
      </c>
      <c r="D30" s="68">
        <v>250368.52</v>
      </c>
      <c r="E30" s="68">
        <v>249674.76</v>
      </c>
      <c r="F30" s="68">
        <f>D30</f>
        <v>250368.52</v>
      </c>
      <c r="G30" s="68">
        <f>E30-D30</f>
        <v>-693.75999999998021</v>
      </c>
    </row>
    <row r="31" spans="1:16" x14ac:dyDescent="0.25">
      <c r="A31" s="98" t="s">
        <v>42</v>
      </c>
      <c r="B31" s="9" t="s">
        <v>173</v>
      </c>
      <c r="C31" s="213" t="s">
        <v>504</v>
      </c>
      <c r="D31" s="68">
        <v>435025.63</v>
      </c>
      <c r="E31" s="68">
        <v>433145.42</v>
      </c>
      <c r="F31" s="68">
        <f>D31</f>
        <v>435025.63</v>
      </c>
      <c r="G31" s="68">
        <f>E31-D31</f>
        <v>-1880.210000000021</v>
      </c>
    </row>
    <row r="32" spans="1:16" x14ac:dyDescent="0.25">
      <c r="A32" s="98" t="s">
        <v>41</v>
      </c>
      <c r="B32" s="9" t="s">
        <v>43</v>
      </c>
      <c r="C32" s="152" t="s">
        <v>247</v>
      </c>
      <c r="D32" s="68">
        <v>561267.49</v>
      </c>
      <c r="E32" s="68">
        <v>546776.54</v>
      </c>
      <c r="F32" s="68">
        <f>D32</f>
        <v>561267.49</v>
      </c>
      <c r="G32" s="68">
        <f>E32-D32</f>
        <v>-14490.949999999953</v>
      </c>
    </row>
    <row r="33" spans="1:10" s="20" customFormat="1" ht="4.5" customHeight="1" thickBot="1" x14ac:dyDescent="0.3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10" s="15" customFormat="1" ht="15.75" thickBot="1" x14ac:dyDescent="0.3">
      <c r="A34" s="287" t="s">
        <v>241</v>
      </c>
      <c r="B34" s="288"/>
      <c r="C34" s="288"/>
      <c r="D34" s="73">
        <f>D13+D18+D23+D24+D25+D26+D27+D28-E18-E23-E24-E25-E26-E27-E28</f>
        <v>112222.04000000004</v>
      </c>
      <c r="E34" s="39"/>
      <c r="F34" s="39"/>
      <c r="G34" s="39"/>
      <c r="H34" s="40"/>
      <c r="I34" s="40"/>
    </row>
    <row r="35" spans="1:10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218" t="s">
        <v>243</v>
      </c>
      <c r="B36" s="219"/>
      <c r="C36" s="219"/>
      <c r="D36" s="44"/>
      <c r="E36" s="45"/>
      <c r="F36" s="45"/>
      <c r="G36" s="38">
        <f>G15+E26-F26</f>
        <v>192250.54109999997</v>
      </c>
      <c r="H36" s="40"/>
      <c r="I36" s="40"/>
    </row>
    <row r="37" spans="1:10" s="15" customFormat="1" x14ac:dyDescent="0.25">
      <c r="A37" s="220"/>
      <c r="B37" s="41"/>
      <c r="C37" s="41"/>
      <c r="D37" s="42"/>
      <c r="E37" s="39"/>
      <c r="F37" s="39"/>
      <c r="G37" s="42"/>
      <c r="H37" s="40"/>
      <c r="I37" s="40"/>
    </row>
    <row r="38" spans="1:10" ht="26.25" customHeight="1" x14ac:dyDescent="0.25">
      <c r="A38" s="340" t="s">
        <v>44</v>
      </c>
      <c r="B38" s="340"/>
      <c r="C38" s="340"/>
      <c r="D38" s="340"/>
      <c r="E38" s="340"/>
      <c r="F38" s="340"/>
      <c r="G38" s="340"/>
      <c r="H38" s="340"/>
      <c r="I38" s="340"/>
    </row>
    <row r="39" spans="1:10" ht="3.75" customHeight="1" x14ac:dyDescent="0.25"/>
    <row r="40" spans="1:10" s="7" customFormat="1" ht="28.5" customHeight="1" x14ac:dyDescent="0.25">
      <c r="A40" s="5" t="s">
        <v>11</v>
      </c>
      <c r="B40" s="306" t="s">
        <v>45</v>
      </c>
      <c r="C40" s="307"/>
      <c r="D40" s="5" t="s">
        <v>254</v>
      </c>
      <c r="E40" s="5" t="s">
        <v>253</v>
      </c>
      <c r="F40" s="306" t="s">
        <v>46</v>
      </c>
      <c r="G40" s="307"/>
    </row>
    <row r="41" spans="1:10" s="12" customFormat="1" ht="13.5" customHeight="1" x14ac:dyDescent="0.25">
      <c r="A41" s="11" t="s">
        <v>47</v>
      </c>
      <c r="B41" s="308" t="s">
        <v>127</v>
      </c>
      <c r="C41" s="309"/>
      <c r="D41" s="176"/>
      <c r="E41" s="176"/>
      <c r="F41" s="316">
        <f>SUM(F42:L43)</f>
        <v>15421.3089</v>
      </c>
      <c r="G41" s="312"/>
    </row>
    <row r="42" spans="1:10" s="12" customFormat="1" x14ac:dyDescent="0.25">
      <c r="A42" s="9" t="s">
        <v>16</v>
      </c>
      <c r="B42" s="298" t="s">
        <v>205</v>
      </c>
      <c r="C42" s="299"/>
      <c r="D42" s="177" t="s">
        <v>255</v>
      </c>
      <c r="E42" s="177">
        <v>20</v>
      </c>
      <c r="F42" s="329">
        <v>14976.29</v>
      </c>
      <c r="G42" s="330"/>
      <c r="H42" s="1"/>
      <c r="I42" s="1"/>
    </row>
    <row r="43" spans="1:10" s="3" customFormat="1" x14ac:dyDescent="0.25">
      <c r="A43" s="9" t="s">
        <v>18</v>
      </c>
      <c r="B43" s="216" t="s">
        <v>533</v>
      </c>
      <c r="C43" s="217"/>
      <c r="D43" s="177"/>
      <c r="E43" s="177"/>
      <c r="F43" s="315">
        <f>E26*1%</f>
        <v>445.01890000000003</v>
      </c>
      <c r="G43" s="315"/>
      <c r="H43" s="1"/>
      <c r="I43" s="1"/>
    </row>
    <row r="44" spans="1:10" s="3" customFormat="1" x14ac:dyDescent="0.25">
      <c r="A44" s="136">
        <v>2</v>
      </c>
      <c r="B44" s="308" t="s">
        <v>526</v>
      </c>
      <c r="C44" s="309"/>
      <c r="D44" s="176"/>
      <c r="E44" s="176"/>
      <c r="F44" s="316">
        <f>SUM(F45:L45)</f>
        <v>1352332.8</v>
      </c>
      <c r="G44" s="312"/>
      <c r="H44" s="1"/>
      <c r="I44" s="1"/>
    </row>
    <row r="45" spans="1:10" s="3" customFormat="1" x14ac:dyDescent="0.25">
      <c r="A45" s="9" t="s">
        <v>104</v>
      </c>
      <c r="B45" s="298" t="s">
        <v>527</v>
      </c>
      <c r="C45" s="299"/>
      <c r="D45" s="177" t="s">
        <v>255</v>
      </c>
      <c r="E45" s="177">
        <v>451</v>
      </c>
      <c r="F45" s="329">
        <v>1352332.8</v>
      </c>
      <c r="G45" s="330"/>
      <c r="H45" s="1"/>
      <c r="I45" s="1"/>
    </row>
    <row r="46" spans="1:10" s="3" customFormat="1" ht="11.25" customHeight="1" x14ac:dyDescent="0.25">
      <c r="H46" s="1"/>
      <c r="I46" s="1"/>
    </row>
    <row r="47" spans="1:10" s="3" customFormat="1" x14ac:dyDescent="0.25">
      <c r="A47" s="3" t="s">
        <v>55</v>
      </c>
      <c r="C47" s="3" t="s">
        <v>49</v>
      </c>
      <c r="F47" s="3" t="s">
        <v>102</v>
      </c>
      <c r="H47" s="1"/>
      <c r="I47" s="1"/>
    </row>
    <row r="48" spans="1:10" s="3" customFormat="1" x14ac:dyDescent="0.25">
      <c r="F48" s="4" t="s">
        <v>265</v>
      </c>
      <c r="H48" s="1"/>
      <c r="I48" s="1"/>
    </row>
  </sheetData>
  <mergeCells count="21">
    <mergeCell ref="B44:C44"/>
    <mergeCell ref="F44:G44"/>
    <mergeCell ref="B45:C45"/>
    <mergeCell ref="F45:G45"/>
    <mergeCell ref="A1:I1"/>
    <mergeCell ref="A2:I2"/>
    <mergeCell ref="A5:I5"/>
    <mergeCell ref="A10:I10"/>
    <mergeCell ref="A3:K3"/>
    <mergeCell ref="A34:C34"/>
    <mergeCell ref="A11:I11"/>
    <mergeCell ref="A12:I12"/>
    <mergeCell ref="A13:C13"/>
    <mergeCell ref="A38:I38"/>
    <mergeCell ref="F43:G43"/>
    <mergeCell ref="F40:G40"/>
    <mergeCell ref="F42:G42"/>
    <mergeCell ref="F41:G41"/>
    <mergeCell ref="B40:C40"/>
    <mergeCell ref="B41:C41"/>
    <mergeCell ref="B42:C42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F49" sqref="F49"/>
    </sheetView>
  </sheetViews>
  <sheetFormatPr defaultRowHeight="15" outlineLevelCol="1" x14ac:dyDescent="0.25"/>
  <cols>
    <col min="1" max="1" width="5.5703125" style="1" customWidth="1"/>
    <col min="2" max="2" width="46" style="1" customWidth="1"/>
    <col min="3" max="3" width="14.28515625" style="1" customWidth="1"/>
    <col min="4" max="5" width="12.7109375" style="1" customWidth="1"/>
    <col min="6" max="6" width="15.140625" style="1" customWidth="1"/>
    <col min="7" max="7" width="13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.7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.75" customHeight="1" x14ac:dyDescent="0.25"/>
    <row r="7" spans="1:11" s="3" customFormat="1" ht="16.5" customHeight="1" x14ac:dyDescent="0.25">
      <c r="A7" s="3" t="s">
        <v>2</v>
      </c>
      <c r="F7" s="4" t="s">
        <v>124</v>
      </c>
    </row>
    <row r="8" spans="1:11" s="3" customFormat="1" x14ac:dyDescent="0.25">
      <c r="A8" s="3" t="s">
        <v>3</v>
      </c>
      <c r="F8" s="4" t="s">
        <v>194</v>
      </c>
    </row>
    <row r="9" spans="1:11" s="3" customFormat="1" ht="4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675154.84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215</v>
      </c>
      <c r="B15" s="43"/>
      <c r="C15" s="43"/>
      <c r="D15" s="44"/>
      <c r="E15" s="45"/>
      <c r="F15" s="45"/>
      <c r="G15" s="38">
        <v>88778.97</v>
      </c>
      <c r="H15" s="40"/>
      <c r="I15" s="40"/>
    </row>
    <row r="16" spans="1:11" s="3" customFormat="1" ht="6.75" customHeight="1" x14ac:dyDescent="0.25"/>
    <row r="17" spans="1:9" s="18" customFormat="1" ht="38.25" x14ac:dyDescent="0.25">
      <c r="A17" s="6" t="s">
        <v>11</v>
      </c>
      <c r="B17" s="6" t="s">
        <v>12</v>
      </c>
      <c r="C17" s="6" t="s">
        <v>103</v>
      </c>
      <c r="D17" s="129" t="s">
        <v>252</v>
      </c>
      <c r="E17" s="129" t="s">
        <v>249</v>
      </c>
      <c r="F17" s="130" t="s">
        <v>257</v>
      </c>
      <c r="G17" s="129" t="s">
        <v>251</v>
      </c>
    </row>
    <row r="18" spans="1:9" s="3" customFormat="1" ht="29.25" x14ac:dyDescent="0.25">
      <c r="A18" s="187" t="s">
        <v>14</v>
      </c>
      <c r="B18" s="137" t="s">
        <v>15</v>
      </c>
      <c r="C18" s="201">
        <f>SUM(C19:C22)</f>
        <v>8.9599999999999991</v>
      </c>
      <c r="D18" s="165">
        <v>191944.68</v>
      </c>
      <c r="E18" s="165">
        <v>167042.82999999999</v>
      </c>
      <c r="F18" s="165">
        <f t="shared" ref="F18:F25" si="0">D18</f>
        <v>191944.68</v>
      </c>
      <c r="G18" s="166">
        <f>E18-D18</f>
        <v>-24901.850000000006</v>
      </c>
      <c r="H18" s="70">
        <f>C18</f>
        <v>8.9599999999999991</v>
      </c>
      <c r="I18" s="190"/>
    </row>
    <row r="19" spans="1:9" s="3" customFormat="1" x14ac:dyDescent="0.25">
      <c r="A19" s="8" t="s">
        <v>16</v>
      </c>
      <c r="B19" s="9" t="s">
        <v>17</v>
      </c>
      <c r="C19" s="157">
        <v>3.08</v>
      </c>
      <c r="D19" s="67">
        <f>D18*I19</f>
        <v>65980.983750000014</v>
      </c>
      <c r="E19" s="67">
        <f>E18*I19</f>
        <v>57420.972812500004</v>
      </c>
      <c r="F19" s="67">
        <f t="shared" si="0"/>
        <v>65980.983750000014</v>
      </c>
      <c r="G19" s="68">
        <f t="shared" ref="G19:G27" si="1">E19-D19</f>
        <v>-8560.0109375000102</v>
      </c>
      <c r="H19" s="70">
        <f t="shared" ref="H19:H22" si="2">C19</f>
        <v>3.08</v>
      </c>
      <c r="I19" s="15">
        <f>H19/H18</f>
        <v>0.34375000000000006</v>
      </c>
    </row>
    <row r="20" spans="1:9" s="3" customFormat="1" x14ac:dyDescent="0.25">
      <c r="A20" s="8" t="s">
        <v>18</v>
      </c>
      <c r="B20" s="9" t="s">
        <v>19</v>
      </c>
      <c r="C20" s="157">
        <v>1.47</v>
      </c>
      <c r="D20" s="67">
        <f>D18*I20</f>
        <v>31490.924062500006</v>
      </c>
      <c r="E20" s="67">
        <f>E18*I20</f>
        <v>27405.464296875001</v>
      </c>
      <c r="F20" s="67">
        <f t="shared" si="0"/>
        <v>31490.924062500006</v>
      </c>
      <c r="G20" s="68">
        <f t="shared" si="1"/>
        <v>-4085.4597656250044</v>
      </c>
      <c r="H20" s="70">
        <f t="shared" si="2"/>
        <v>1.47</v>
      </c>
      <c r="I20" s="15">
        <f>H20/H18</f>
        <v>0.16406250000000003</v>
      </c>
    </row>
    <row r="21" spans="1:9" s="3" customFormat="1" x14ac:dyDescent="0.25">
      <c r="A21" s="8" t="s">
        <v>20</v>
      </c>
      <c r="B21" s="9" t="s">
        <v>21</v>
      </c>
      <c r="C21" s="157">
        <v>1.81</v>
      </c>
      <c r="D21" s="67">
        <f>D18*I21</f>
        <v>38774.539151785721</v>
      </c>
      <c r="E21" s="67">
        <f>E18*I21</f>
        <v>33744.143113839287</v>
      </c>
      <c r="F21" s="67">
        <f t="shared" si="0"/>
        <v>38774.539151785721</v>
      </c>
      <c r="G21" s="68">
        <f t="shared" si="1"/>
        <v>-5030.3960379464334</v>
      </c>
      <c r="H21" s="70">
        <f t="shared" si="2"/>
        <v>1.81</v>
      </c>
      <c r="I21" s="15">
        <f>H21/H18</f>
        <v>0.2020089285714286</v>
      </c>
    </row>
    <row r="22" spans="1:9" s="3" customFormat="1" x14ac:dyDescent="0.25">
      <c r="A22" s="8" t="s">
        <v>22</v>
      </c>
      <c r="B22" s="9" t="s">
        <v>23</v>
      </c>
      <c r="C22" s="152">
        <v>2.6</v>
      </c>
      <c r="D22" s="67">
        <f>D18*I22</f>
        <v>55698.233035714286</v>
      </c>
      <c r="E22" s="67">
        <f>E18*I22</f>
        <v>48472.249776785713</v>
      </c>
      <c r="F22" s="67">
        <f t="shared" si="0"/>
        <v>55698.233035714286</v>
      </c>
      <c r="G22" s="68">
        <f t="shared" si="1"/>
        <v>-7225.9832589285725</v>
      </c>
      <c r="H22" s="70">
        <f t="shared" si="2"/>
        <v>2.6</v>
      </c>
      <c r="I22" s="15">
        <f>H22/H18</f>
        <v>0.29017857142857145</v>
      </c>
    </row>
    <row r="23" spans="1:9" x14ac:dyDescent="0.25">
      <c r="A23" s="137" t="s">
        <v>25</v>
      </c>
      <c r="B23" s="137" t="s">
        <v>26</v>
      </c>
      <c r="C23" s="201">
        <v>0</v>
      </c>
      <c r="D23" s="166">
        <v>0</v>
      </c>
      <c r="E23" s="166">
        <v>0</v>
      </c>
      <c r="F23" s="165">
        <f t="shared" si="0"/>
        <v>0</v>
      </c>
      <c r="G23" s="166">
        <f t="shared" si="1"/>
        <v>0</v>
      </c>
      <c r="H23" s="186"/>
      <c r="I23" s="186"/>
    </row>
    <row r="24" spans="1:9" x14ac:dyDescent="0.25">
      <c r="A24" s="137" t="s">
        <v>27</v>
      </c>
      <c r="B24" s="137" t="s">
        <v>28</v>
      </c>
      <c r="C24" s="201">
        <v>4.5999999999999996</v>
      </c>
      <c r="D24" s="166">
        <v>98543.039999999994</v>
      </c>
      <c r="E24" s="166">
        <v>82687.34</v>
      </c>
      <c r="F24" s="166">
        <f t="shared" si="0"/>
        <v>98543.039999999994</v>
      </c>
      <c r="G24" s="166">
        <f t="shared" si="1"/>
        <v>-15855.699999999997</v>
      </c>
      <c r="H24" s="186"/>
      <c r="I24" s="186"/>
    </row>
    <row r="25" spans="1:9" x14ac:dyDescent="0.25">
      <c r="A25" s="137" t="s">
        <v>29</v>
      </c>
      <c r="B25" s="137" t="s">
        <v>30</v>
      </c>
      <c r="C25" s="201">
        <v>0</v>
      </c>
      <c r="D25" s="166">
        <v>0</v>
      </c>
      <c r="E25" s="166">
        <v>0</v>
      </c>
      <c r="F25" s="166">
        <f t="shared" si="0"/>
        <v>0</v>
      </c>
      <c r="G25" s="166">
        <f t="shared" si="1"/>
        <v>0</v>
      </c>
      <c r="H25" s="186"/>
      <c r="I25" s="186"/>
    </row>
    <row r="26" spans="1:9" x14ac:dyDescent="0.25">
      <c r="A26" s="137" t="s">
        <v>31</v>
      </c>
      <c r="B26" s="137" t="s">
        <v>132</v>
      </c>
      <c r="C26" s="201">
        <v>1.82</v>
      </c>
      <c r="D26" s="166">
        <v>38988.720000000001</v>
      </c>
      <c r="E26" s="166">
        <v>33138.78</v>
      </c>
      <c r="F26" s="172">
        <f>F41</f>
        <v>131424.6678</v>
      </c>
      <c r="G26" s="166">
        <f t="shared" si="1"/>
        <v>-5849.9400000000023</v>
      </c>
      <c r="H26" s="186"/>
      <c r="I26" s="186"/>
    </row>
    <row r="27" spans="1:9" x14ac:dyDescent="0.25">
      <c r="A27" s="221">
        <v>6</v>
      </c>
      <c r="B27" s="227" t="s">
        <v>248</v>
      </c>
      <c r="C27" s="202">
        <v>1755.25</v>
      </c>
      <c r="D27" s="166">
        <v>9231.1299999999992</v>
      </c>
      <c r="E27" s="166">
        <v>7908.29</v>
      </c>
      <c r="F27" s="172">
        <f>D27</f>
        <v>9231.1299999999992</v>
      </c>
      <c r="G27" s="166">
        <f t="shared" si="1"/>
        <v>-1322.8399999999992</v>
      </c>
      <c r="H27" s="186"/>
      <c r="I27" s="186"/>
    </row>
    <row r="28" spans="1:9" x14ac:dyDescent="0.25">
      <c r="A28" s="221">
        <f>A27+1</f>
        <v>7</v>
      </c>
      <c r="B28" s="137" t="s">
        <v>36</v>
      </c>
      <c r="C28" s="201"/>
      <c r="D28" s="166">
        <f>SUM(D29:D32)</f>
        <v>881646.24</v>
      </c>
      <c r="E28" s="166">
        <f>SUM(E29:E32)</f>
        <v>713300.12</v>
      </c>
      <c r="F28" s="166">
        <f>SUM(F29:F32)</f>
        <v>881646.24</v>
      </c>
      <c r="G28" s="166">
        <f>SUM(G29:G32)</f>
        <v>-168346.12</v>
      </c>
      <c r="H28" s="186"/>
      <c r="I28" s="186"/>
    </row>
    <row r="29" spans="1:9" x14ac:dyDescent="0.25">
      <c r="A29" s="98" t="s">
        <v>37</v>
      </c>
      <c r="B29" s="9" t="s">
        <v>106</v>
      </c>
      <c r="C29" s="152" t="s">
        <v>245</v>
      </c>
      <c r="D29" s="68">
        <v>20622.46</v>
      </c>
      <c r="E29" s="68">
        <v>13317.14</v>
      </c>
      <c r="F29" s="68">
        <f>D29</f>
        <v>20622.46</v>
      </c>
      <c r="G29" s="68">
        <f>E29-D29</f>
        <v>-7305.32</v>
      </c>
    </row>
    <row r="30" spans="1:9" x14ac:dyDescent="0.25">
      <c r="A30" s="98" t="s">
        <v>39</v>
      </c>
      <c r="B30" s="9" t="s">
        <v>171</v>
      </c>
      <c r="C30" s="152" t="s">
        <v>246</v>
      </c>
      <c r="D30" s="68">
        <v>146128.75</v>
      </c>
      <c r="E30" s="68">
        <v>110936.26</v>
      </c>
      <c r="F30" s="68">
        <f>D30</f>
        <v>146128.75</v>
      </c>
      <c r="G30" s="68">
        <f>E30-D30</f>
        <v>-35192.490000000005</v>
      </c>
    </row>
    <row r="31" spans="1:9" x14ac:dyDescent="0.25">
      <c r="A31" s="98" t="s">
        <v>42</v>
      </c>
      <c r="B31" s="9" t="s">
        <v>173</v>
      </c>
      <c r="C31" s="213" t="s">
        <v>504</v>
      </c>
      <c r="D31" s="68">
        <v>257229.22</v>
      </c>
      <c r="E31" s="68">
        <v>198269.66</v>
      </c>
      <c r="F31" s="68">
        <f>D31</f>
        <v>257229.22</v>
      </c>
      <c r="G31" s="68">
        <f>E31-D31</f>
        <v>-58959.56</v>
      </c>
    </row>
    <row r="32" spans="1:9" x14ac:dyDescent="0.25">
      <c r="A32" s="98" t="s">
        <v>41</v>
      </c>
      <c r="B32" s="9" t="s">
        <v>43</v>
      </c>
      <c r="C32" s="152" t="s">
        <v>247</v>
      </c>
      <c r="D32" s="68">
        <v>457665.81</v>
      </c>
      <c r="E32" s="68">
        <v>390777.06</v>
      </c>
      <c r="F32" s="68">
        <f>D32</f>
        <v>457665.81</v>
      </c>
      <c r="G32" s="68">
        <f>E32-D32</f>
        <v>-66888.75</v>
      </c>
    </row>
    <row r="33" spans="1:10" s="20" customFormat="1" ht="4.5" customHeight="1" thickBot="1" x14ac:dyDescent="0.3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10" s="15" customFormat="1" ht="15.75" thickBot="1" x14ac:dyDescent="0.3">
      <c r="A34" s="287" t="s">
        <v>241</v>
      </c>
      <c r="B34" s="288"/>
      <c r="C34" s="288"/>
      <c r="D34" s="73">
        <f>D13+D18+D23+D24+D25+D26+D27+D28-E18-E23-E24-E25-E26-E27-E28</f>
        <v>891431.28999999969</v>
      </c>
      <c r="E34" s="39"/>
      <c r="F34" s="39"/>
      <c r="G34" s="39"/>
      <c r="H34" s="40"/>
      <c r="I34" s="40"/>
    </row>
    <row r="35" spans="1:10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218" t="s">
        <v>243</v>
      </c>
      <c r="B36" s="219"/>
      <c r="C36" s="219"/>
      <c r="D36" s="44"/>
      <c r="E36" s="45"/>
      <c r="F36" s="45"/>
      <c r="G36" s="38">
        <f>G15+E26-F26</f>
        <v>-9506.9177999999956</v>
      </c>
      <c r="H36" s="40"/>
      <c r="I36" s="40"/>
    </row>
    <row r="37" spans="1:10" s="15" customFormat="1" x14ac:dyDescent="0.25">
      <c r="A37" s="220"/>
      <c r="B37" s="41"/>
      <c r="C37" s="41"/>
      <c r="D37" s="42"/>
      <c r="E37" s="39"/>
      <c r="F37" s="39"/>
      <c r="G37" s="42"/>
      <c r="H37" s="40"/>
      <c r="I37" s="40"/>
    </row>
    <row r="38" spans="1:10" ht="26.25" customHeight="1" x14ac:dyDescent="0.25">
      <c r="A38" s="340" t="s">
        <v>44</v>
      </c>
      <c r="B38" s="340"/>
      <c r="C38" s="340"/>
      <c r="D38" s="340"/>
      <c r="E38" s="340"/>
      <c r="F38" s="340"/>
      <c r="G38" s="340"/>
      <c r="H38" s="340"/>
      <c r="I38" s="340"/>
    </row>
    <row r="39" spans="1:10" ht="3.75" customHeight="1" x14ac:dyDescent="0.25"/>
    <row r="40" spans="1:10" s="7" customFormat="1" ht="28.5" customHeight="1" x14ac:dyDescent="0.25">
      <c r="A40" s="5" t="s">
        <v>11</v>
      </c>
      <c r="B40" s="306" t="s">
        <v>45</v>
      </c>
      <c r="C40" s="307"/>
      <c r="D40" s="5" t="s">
        <v>254</v>
      </c>
      <c r="E40" s="5" t="s">
        <v>253</v>
      </c>
      <c r="F40" s="306" t="s">
        <v>46</v>
      </c>
      <c r="G40" s="307"/>
    </row>
    <row r="41" spans="1:10" s="12" customFormat="1" ht="13.5" customHeight="1" x14ac:dyDescent="0.25">
      <c r="A41" s="11" t="s">
        <v>47</v>
      </c>
      <c r="B41" s="308" t="s">
        <v>127</v>
      </c>
      <c r="C41" s="309"/>
      <c r="D41" s="176"/>
      <c r="E41" s="176"/>
      <c r="F41" s="316">
        <f>SUM(F42:L48)</f>
        <v>131424.6678</v>
      </c>
      <c r="G41" s="312"/>
    </row>
    <row r="42" spans="1:10" s="48" customFormat="1" x14ac:dyDescent="0.25">
      <c r="A42" s="9" t="s">
        <v>16</v>
      </c>
      <c r="B42" s="298" t="s">
        <v>349</v>
      </c>
      <c r="C42" s="299"/>
      <c r="D42" s="177" t="s">
        <v>255</v>
      </c>
      <c r="E42" s="177">
        <v>7</v>
      </c>
      <c r="F42" s="329">
        <v>2958.29</v>
      </c>
      <c r="G42" s="330"/>
      <c r="H42" s="1"/>
      <c r="I42" s="1"/>
    </row>
    <row r="43" spans="1:10" s="3" customFormat="1" x14ac:dyDescent="0.25">
      <c r="A43" s="9" t="s">
        <v>18</v>
      </c>
      <c r="B43" s="298" t="s">
        <v>530</v>
      </c>
      <c r="C43" s="299"/>
      <c r="D43" s="177" t="s">
        <v>262</v>
      </c>
      <c r="E43" s="177"/>
      <c r="F43" s="315">
        <v>101656</v>
      </c>
      <c r="G43" s="315"/>
      <c r="H43" s="1"/>
      <c r="I43" s="1"/>
    </row>
    <row r="44" spans="1:10" s="3" customFormat="1" x14ac:dyDescent="0.25">
      <c r="A44" s="9" t="s">
        <v>20</v>
      </c>
      <c r="B44" s="298" t="s">
        <v>349</v>
      </c>
      <c r="C44" s="299"/>
      <c r="D44" s="177" t="s">
        <v>255</v>
      </c>
      <c r="E44" s="177">
        <v>3.5</v>
      </c>
      <c r="F44" s="329">
        <v>1868.92</v>
      </c>
      <c r="G44" s="330"/>
      <c r="H44" s="1"/>
      <c r="I44" s="1"/>
    </row>
    <row r="45" spans="1:10" s="3" customFormat="1" ht="13.5" customHeight="1" x14ac:dyDescent="0.25">
      <c r="A45" s="9" t="s">
        <v>22</v>
      </c>
      <c r="B45" s="298" t="s">
        <v>349</v>
      </c>
      <c r="C45" s="299"/>
      <c r="D45" s="177" t="s">
        <v>255</v>
      </c>
      <c r="E45" s="177">
        <v>2.5</v>
      </c>
      <c r="F45" s="329">
        <v>5672.86</v>
      </c>
      <c r="G45" s="330"/>
      <c r="H45" s="1"/>
      <c r="I45" s="1"/>
    </row>
    <row r="46" spans="1:10" s="3" customFormat="1" x14ac:dyDescent="0.25">
      <c r="A46" s="9" t="s">
        <v>24</v>
      </c>
      <c r="B46" s="298" t="s">
        <v>350</v>
      </c>
      <c r="C46" s="299"/>
      <c r="D46" s="177" t="s">
        <v>255</v>
      </c>
      <c r="E46" s="177">
        <v>18</v>
      </c>
      <c r="F46" s="329">
        <v>3870.51</v>
      </c>
      <c r="G46" s="330"/>
      <c r="H46" s="1"/>
      <c r="I46" s="1"/>
    </row>
    <row r="47" spans="1:10" s="3" customFormat="1" x14ac:dyDescent="0.25">
      <c r="A47" s="9" t="s">
        <v>117</v>
      </c>
      <c r="B47" s="298" t="s">
        <v>351</v>
      </c>
      <c r="C47" s="299"/>
      <c r="D47" s="177" t="s">
        <v>292</v>
      </c>
      <c r="E47" s="177">
        <v>1</v>
      </c>
      <c r="F47" s="329">
        <v>15066.7</v>
      </c>
      <c r="G47" s="330"/>
      <c r="H47" s="1"/>
      <c r="I47" s="1"/>
    </row>
    <row r="48" spans="1:10" x14ac:dyDescent="0.25">
      <c r="A48" s="9" t="s">
        <v>118</v>
      </c>
      <c r="B48" s="216" t="s">
        <v>533</v>
      </c>
      <c r="C48" s="217"/>
      <c r="D48" s="177"/>
      <c r="E48" s="177"/>
      <c r="F48" s="315">
        <f>E26*1%</f>
        <v>331.38779999999997</v>
      </c>
      <c r="G48" s="315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 t="s">
        <v>55</v>
      </c>
      <c r="B50" s="3"/>
      <c r="C50" s="3" t="s">
        <v>49</v>
      </c>
      <c r="D50" s="3"/>
      <c r="E50" s="3"/>
      <c r="F50" s="3" t="s">
        <v>102</v>
      </c>
      <c r="G50" s="3"/>
    </row>
    <row r="51" spans="1:7" x14ac:dyDescent="0.25">
      <c r="A51" s="3"/>
      <c r="B51" s="3"/>
      <c r="C51" s="3"/>
      <c r="D51" s="3"/>
      <c r="E51" s="3"/>
      <c r="F51" s="4" t="s">
        <v>265</v>
      </c>
      <c r="G51" s="3"/>
    </row>
    <row r="52" spans="1:7" x14ac:dyDescent="0.25">
      <c r="A52" s="3" t="s">
        <v>50</v>
      </c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14" t="s">
        <v>51</v>
      </c>
      <c r="D53" s="3"/>
      <c r="E53" s="14"/>
      <c r="F53" s="14"/>
      <c r="G53" s="14"/>
    </row>
  </sheetData>
  <mergeCells count="27">
    <mergeCell ref="A12:I12"/>
    <mergeCell ref="A38:I38"/>
    <mergeCell ref="F42:G42"/>
    <mergeCell ref="F40:G40"/>
    <mergeCell ref="A13:C13"/>
    <mergeCell ref="A34:C34"/>
    <mergeCell ref="F41:G41"/>
    <mergeCell ref="B40:C40"/>
    <mergeCell ref="B41:C41"/>
    <mergeCell ref="B42:C42"/>
    <mergeCell ref="A11:I11"/>
    <mergeCell ref="A1:I1"/>
    <mergeCell ref="A2:I2"/>
    <mergeCell ref="A5:I5"/>
    <mergeCell ref="A10:I10"/>
    <mergeCell ref="A3:K3"/>
    <mergeCell ref="F43:G43"/>
    <mergeCell ref="B43:C43"/>
    <mergeCell ref="B44:C44"/>
    <mergeCell ref="F44:G44"/>
    <mergeCell ref="B45:C45"/>
    <mergeCell ref="F45:G45"/>
    <mergeCell ref="F48:G48"/>
    <mergeCell ref="B46:C46"/>
    <mergeCell ref="F46:G46"/>
    <mergeCell ref="B47:C47"/>
    <mergeCell ref="F47:G47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workbookViewId="0">
      <selection activeCell="C21" sqref="C21"/>
    </sheetView>
  </sheetViews>
  <sheetFormatPr defaultRowHeight="15" outlineLevelCol="1" x14ac:dyDescent="0.25"/>
  <cols>
    <col min="1" max="1" width="4.7109375" style="1" customWidth="1"/>
    <col min="2" max="2" width="40.5703125" style="1" customWidth="1"/>
    <col min="3" max="3" width="13.140625" style="1" customWidth="1"/>
    <col min="4" max="5" width="13.140625" style="1" bestFit="1" customWidth="1"/>
    <col min="6" max="6" width="15.4257812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4" width="14.7109375" style="1" customWidth="1"/>
    <col min="15" max="15" width="15.7109375" style="1" customWidth="1"/>
    <col min="16" max="16" width="11" style="1" customWidth="1"/>
    <col min="17" max="16384" width="9.140625" style="1"/>
  </cols>
  <sheetData>
    <row r="1" spans="1:16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6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6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6" ht="9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6" ht="13.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6" s="3" customFormat="1" ht="16.5" customHeight="1" x14ac:dyDescent="0.25">
      <c r="A7" s="3" t="s">
        <v>2</v>
      </c>
      <c r="F7" s="4" t="s">
        <v>57</v>
      </c>
    </row>
    <row r="8" spans="1:16" s="3" customFormat="1" x14ac:dyDescent="0.25">
      <c r="A8" s="3" t="s">
        <v>3</v>
      </c>
      <c r="F8" s="4" t="s">
        <v>58</v>
      </c>
    </row>
    <row r="9" spans="1:16" s="3" customFormat="1" ht="12" customHeight="1" x14ac:dyDescent="0.25"/>
    <row r="10" spans="1:16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6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6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6" s="15" customFormat="1" ht="16.5" customHeight="1" thickBot="1" x14ac:dyDescent="0.3">
      <c r="A13" s="287" t="s">
        <v>240</v>
      </c>
      <c r="B13" s="288"/>
      <c r="C13" s="288"/>
      <c r="D13" s="79">
        <v>82923.7</v>
      </c>
      <c r="E13" s="39"/>
      <c r="F13" s="39"/>
      <c r="G13" s="39"/>
      <c r="H13" s="40"/>
      <c r="I13" s="40"/>
      <c r="N13" s="3"/>
      <c r="O13" s="3"/>
      <c r="P13" s="3"/>
    </row>
    <row r="14" spans="1:16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  <c r="N14" s="3"/>
      <c r="O14" s="3"/>
      <c r="P14" s="3"/>
    </row>
    <row r="15" spans="1:16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14154.13</v>
      </c>
      <c r="H15" s="40"/>
      <c r="I15" s="40"/>
      <c r="N15" s="3"/>
      <c r="O15" s="3"/>
      <c r="P15" s="3"/>
    </row>
    <row r="16" spans="1:16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28142.41</v>
      </c>
      <c r="H16" s="40"/>
      <c r="I16" s="40"/>
      <c r="N16" s="3"/>
      <c r="O16" s="3"/>
      <c r="P16" s="3"/>
    </row>
    <row r="17" spans="1:16" s="3" customFormat="1" ht="7.5" customHeight="1" x14ac:dyDescent="0.25"/>
    <row r="18" spans="1:16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16" s="190" customFormat="1" ht="14.25" x14ac:dyDescent="0.2">
      <c r="A19" s="187" t="s">
        <v>14</v>
      </c>
      <c r="B19" s="36" t="s">
        <v>15</v>
      </c>
      <c r="C19" s="180">
        <f>C20+C21+C22+C23</f>
        <v>8.5500000000000007</v>
      </c>
      <c r="D19" s="165">
        <v>288492.12</v>
      </c>
      <c r="E19" s="165">
        <v>286562.46000000002</v>
      </c>
      <c r="F19" s="165">
        <f>D19</f>
        <v>288492.12</v>
      </c>
      <c r="G19" s="166">
        <f t="shared" ref="G19:G28" si="0">E19-D19</f>
        <v>-1929.6599999999744</v>
      </c>
      <c r="H19" s="189">
        <f>C19</f>
        <v>8.5500000000000007</v>
      </c>
      <c r="N19" s="189"/>
      <c r="O19" s="189"/>
      <c r="P19" s="189"/>
    </row>
    <row r="20" spans="1:16" s="3" customFormat="1" x14ac:dyDescent="0.25">
      <c r="A20" s="8" t="s">
        <v>16</v>
      </c>
      <c r="B20" s="28" t="s">
        <v>17</v>
      </c>
      <c r="C20" s="157">
        <v>3.08</v>
      </c>
      <c r="D20" s="67">
        <f>D19*I20</f>
        <v>103924.6467368421</v>
      </c>
      <c r="E20" s="67">
        <f>E19*I20</f>
        <v>103229.51775438598</v>
      </c>
      <c r="F20" s="67">
        <f>D20</f>
        <v>103924.6467368421</v>
      </c>
      <c r="G20" s="68">
        <f t="shared" si="0"/>
        <v>-695.1289824561245</v>
      </c>
      <c r="H20" s="122">
        <f t="shared" ref="H20:H23" si="1">C20</f>
        <v>3.08</v>
      </c>
      <c r="I20" s="15">
        <f>H20/H19</f>
        <v>0.36023391812865496</v>
      </c>
    </row>
    <row r="21" spans="1:16" s="3" customFormat="1" x14ac:dyDescent="0.25">
      <c r="A21" s="8" t="s">
        <v>18</v>
      </c>
      <c r="B21" s="28" t="s">
        <v>19</v>
      </c>
      <c r="C21" s="157">
        <v>1.51</v>
      </c>
      <c r="D21" s="67">
        <f>D19*I21</f>
        <v>50950.070315789468</v>
      </c>
      <c r="E21" s="67">
        <f>E19*I21</f>
        <v>50609.276561403509</v>
      </c>
      <c r="F21" s="67">
        <f>D21</f>
        <v>50950.070315789468</v>
      </c>
      <c r="G21" s="68">
        <f t="shared" si="0"/>
        <v>-340.79375438595889</v>
      </c>
      <c r="H21" s="122">
        <f t="shared" si="1"/>
        <v>1.51</v>
      </c>
      <c r="I21" s="15">
        <f>H21/H19</f>
        <v>0.17660818713450291</v>
      </c>
    </row>
    <row r="22" spans="1:16" s="3" customFormat="1" x14ac:dyDescent="0.25">
      <c r="A22" s="8" t="s">
        <v>20</v>
      </c>
      <c r="B22" s="28" t="s">
        <v>21</v>
      </c>
      <c r="C22" s="157">
        <v>1.36</v>
      </c>
      <c r="D22" s="67">
        <f>D19*I22</f>
        <v>45888.805052631571</v>
      </c>
      <c r="E22" s="67">
        <f>E19*I22</f>
        <v>45581.864982456136</v>
      </c>
      <c r="F22" s="67">
        <f>D22</f>
        <v>45888.805052631571</v>
      </c>
      <c r="G22" s="68">
        <f t="shared" si="0"/>
        <v>-306.94007017543481</v>
      </c>
      <c r="H22" s="122">
        <f t="shared" si="1"/>
        <v>1.36</v>
      </c>
      <c r="I22" s="15">
        <f>H22/H19</f>
        <v>0.1590643274853801</v>
      </c>
    </row>
    <row r="23" spans="1:16" s="3" customFormat="1" x14ac:dyDescent="0.25">
      <c r="A23" s="8" t="s">
        <v>22</v>
      </c>
      <c r="B23" s="28" t="s">
        <v>23</v>
      </c>
      <c r="C23" s="157">
        <v>2.6</v>
      </c>
      <c r="D23" s="67">
        <f>D19*I23</f>
        <v>87728.597894736842</v>
      </c>
      <c r="E23" s="67">
        <f>E19*I23</f>
        <v>87141.800701754386</v>
      </c>
      <c r="F23" s="67">
        <f>D23</f>
        <v>87728.597894736842</v>
      </c>
      <c r="G23" s="68">
        <f t="shared" si="0"/>
        <v>-586.79719298245618</v>
      </c>
      <c r="H23" s="122">
        <f t="shared" si="1"/>
        <v>2.6</v>
      </c>
      <c r="I23" s="15">
        <f>H23/H19</f>
        <v>0.30409356725146197</v>
      </c>
    </row>
    <row r="24" spans="1:16" s="186" customFormat="1" ht="14.25" x14ac:dyDescent="0.2">
      <c r="A24" s="137" t="s">
        <v>25</v>
      </c>
      <c r="B24" s="170" t="s">
        <v>26</v>
      </c>
      <c r="C24" s="17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16" s="186" customFormat="1" ht="14.25" x14ac:dyDescent="0.2">
      <c r="A25" s="137" t="s">
        <v>27</v>
      </c>
      <c r="B25" s="170" t="s">
        <v>28</v>
      </c>
      <c r="C25" s="171">
        <v>4.5999999999999996</v>
      </c>
      <c r="D25" s="166">
        <v>155211.35999999999</v>
      </c>
      <c r="E25" s="166">
        <v>154096.26999999999</v>
      </c>
      <c r="F25" s="166">
        <f>D25</f>
        <v>155211.35999999999</v>
      </c>
      <c r="G25" s="166">
        <f t="shared" si="0"/>
        <v>-1115.0899999999965</v>
      </c>
    </row>
    <row r="26" spans="1:16" s="186" customFormat="1" ht="14.25" x14ac:dyDescent="0.2">
      <c r="A26" s="137" t="s">
        <v>29</v>
      </c>
      <c r="B26" s="170" t="s">
        <v>248</v>
      </c>
      <c r="C26" s="171">
        <v>1755.25</v>
      </c>
      <c r="D26" s="166">
        <v>12403.53</v>
      </c>
      <c r="E26" s="166">
        <v>12341.54</v>
      </c>
      <c r="F26" s="166">
        <f>D26</f>
        <v>12403.53</v>
      </c>
      <c r="G26" s="166">
        <f t="shared" si="0"/>
        <v>-61.989999999999782</v>
      </c>
    </row>
    <row r="27" spans="1:16" s="186" customFormat="1" ht="14.25" x14ac:dyDescent="0.2">
      <c r="A27" s="137" t="s">
        <v>31</v>
      </c>
      <c r="B27" s="170" t="s">
        <v>132</v>
      </c>
      <c r="C27" s="171">
        <v>1.65</v>
      </c>
      <c r="D27" s="199">
        <v>55675.08</v>
      </c>
      <c r="E27" s="199">
        <v>55585.56</v>
      </c>
      <c r="F27" s="199">
        <f>F44</f>
        <v>87064.215599999996</v>
      </c>
      <c r="G27" s="166">
        <f t="shared" si="0"/>
        <v>-89.520000000004075</v>
      </c>
    </row>
    <row r="28" spans="1:16" s="186" customFormat="1" ht="14.25" x14ac:dyDescent="0.2">
      <c r="A28" s="137" t="s">
        <v>33</v>
      </c>
      <c r="B28" s="36" t="s">
        <v>34</v>
      </c>
      <c r="C28" s="164">
        <v>0</v>
      </c>
      <c r="D28" s="199">
        <v>0</v>
      </c>
      <c r="E28" s="199">
        <v>6858.57</v>
      </c>
      <c r="F28" s="199">
        <v>0</v>
      </c>
      <c r="G28" s="166">
        <f t="shared" si="0"/>
        <v>6858.57</v>
      </c>
    </row>
    <row r="29" spans="1:16" s="186" customFormat="1" ht="14.25" x14ac:dyDescent="0.2">
      <c r="A29" s="137" t="s">
        <v>35</v>
      </c>
      <c r="B29" s="36" t="s">
        <v>36</v>
      </c>
      <c r="C29" s="164"/>
      <c r="D29" s="166">
        <f>SUM(D30:D33)</f>
        <v>1243089.97</v>
      </c>
      <c r="E29" s="166">
        <f>SUM(E30:E33)</f>
        <v>1240551.5999999999</v>
      </c>
      <c r="F29" s="166">
        <f>SUM(F30:F33)</f>
        <v>1243089.97</v>
      </c>
      <c r="G29" s="166">
        <f>SUM(G30:G33)</f>
        <v>-2538.3700000000354</v>
      </c>
    </row>
    <row r="30" spans="1:16" x14ac:dyDescent="0.25">
      <c r="A30" s="9" t="s">
        <v>37</v>
      </c>
      <c r="B30" s="9" t="s">
        <v>263</v>
      </c>
      <c r="C30" s="152" t="s">
        <v>245</v>
      </c>
      <c r="D30" s="68">
        <v>26086.68</v>
      </c>
      <c r="E30" s="68">
        <v>26377.41</v>
      </c>
      <c r="F30" s="68">
        <f>D30</f>
        <v>26086.68</v>
      </c>
      <c r="G30" s="68">
        <f>E30-D30</f>
        <v>290.72999999999956</v>
      </c>
    </row>
    <row r="31" spans="1:16" x14ac:dyDescent="0.25">
      <c r="A31" s="9" t="s">
        <v>39</v>
      </c>
      <c r="B31" s="9" t="s">
        <v>171</v>
      </c>
      <c r="C31" s="152" t="s">
        <v>246</v>
      </c>
      <c r="D31" s="68">
        <v>440501.69</v>
      </c>
      <c r="E31" s="68">
        <v>446707.1</v>
      </c>
      <c r="F31" s="68">
        <f>D31</f>
        <v>440501.69</v>
      </c>
      <c r="G31" s="68">
        <f>E31-D31</f>
        <v>6205.4099999999744</v>
      </c>
    </row>
    <row r="32" spans="1:16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776501.6</v>
      </c>
      <c r="E33" s="68">
        <v>767467.09</v>
      </c>
      <c r="F33" s="68">
        <f>D33</f>
        <v>776501.6</v>
      </c>
      <c r="G33" s="68">
        <f>E33-D33</f>
        <v>-9034.5100000000093</v>
      </c>
    </row>
    <row r="34" spans="1:10" s="20" customFormat="1" ht="6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D13+D19+D25+D27+D28+D29+D26-E26-E19-E25-E27-E28-E29</f>
        <v>81799.760000000009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21012.699999999997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-3336.2455999999947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9.75" customHeight="1" x14ac:dyDescent="0.25">
      <c r="B40" s="13"/>
      <c r="C40" s="13"/>
      <c r="D40" s="13"/>
      <c r="E40" s="13"/>
    </row>
    <row r="41" spans="1:10" ht="26.25" customHeight="1" x14ac:dyDescent="0.25">
      <c r="A41" s="289" t="s">
        <v>44</v>
      </c>
      <c r="B41" s="289"/>
      <c r="C41" s="289"/>
      <c r="D41" s="289"/>
      <c r="E41" s="289"/>
      <c r="F41" s="289"/>
      <c r="G41" s="289"/>
      <c r="H41" s="289"/>
      <c r="I41" s="289"/>
    </row>
    <row r="42" spans="1:10" ht="7.5" customHeight="1" x14ac:dyDescent="0.25"/>
    <row r="43" spans="1:10" s="7" customFormat="1" ht="28.5" customHeight="1" x14ac:dyDescent="0.25">
      <c r="A43" s="5" t="s">
        <v>11</v>
      </c>
      <c r="B43" s="191" t="s">
        <v>45</v>
      </c>
      <c r="C43" s="192"/>
      <c r="D43" s="5" t="s">
        <v>254</v>
      </c>
      <c r="E43" s="5" t="s">
        <v>253</v>
      </c>
      <c r="F43" s="306" t="s">
        <v>46</v>
      </c>
      <c r="G43" s="312"/>
    </row>
    <row r="44" spans="1:10" s="12" customFormat="1" ht="13.5" customHeight="1" x14ac:dyDescent="0.25">
      <c r="A44" s="11" t="s">
        <v>47</v>
      </c>
      <c r="B44" s="308" t="s">
        <v>127</v>
      </c>
      <c r="C44" s="309"/>
      <c r="D44" s="11"/>
      <c r="E44" s="11"/>
      <c r="F44" s="316">
        <f>SUM(F45:G50)</f>
        <v>87064.215599999996</v>
      </c>
      <c r="G44" s="312"/>
    </row>
    <row r="45" spans="1:10" x14ac:dyDescent="0.25">
      <c r="A45" s="9" t="s">
        <v>16</v>
      </c>
      <c r="B45" s="144" t="s">
        <v>266</v>
      </c>
      <c r="C45" s="145"/>
      <c r="D45" s="177" t="s">
        <v>262</v>
      </c>
      <c r="E45" s="177">
        <v>2</v>
      </c>
      <c r="F45" s="315">
        <v>836.19</v>
      </c>
      <c r="G45" s="315"/>
    </row>
    <row r="46" spans="1:10" x14ac:dyDescent="0.25">
      <c r="A46" s="9" t="s">
        <v>18</v>
      </c>
      <c r="B46" s="144" t="s">
        <v>154</v>
      </c>
      <c r="C46" s="145"/>
      <c r="D46" s="177" t="s">
        <v>267</v>
      </c>
      <c r="E46" s="177">
        <v>3.9</v>
      </c>
      <c r="F46" s="315">
        <v>62264.05</v>
      </c>
      <c r="G46" s="315"/>
    </row>
    <row r="47" spans="1:10" x14ac:dyDescent="0.25">
      <c r="A47" s="9" t="s">
        <v>20</v>
      </c>
      <c r="B47" s="144" t="s">
        <v>268</v>
      </c>
      <c r="C47" s="145"/>
      <c r="D47" s="177" t="s">
        <v>267</v>
      </c>
      <c r="E47" s="177">
        <v>33.6</v>
      </c>
      <c r="F47" s="315">
        <v>14472.95</v>
      </c>
      <c r="G47" s="315"/>
    </row>
    <row r="48" spans="1:10" x14ac:dyDescent="0.25">
      <c r="A48" s="9" t="s">
        <v>22</v>
      </c>
      <c r="B48" s="144" t="s">
        <v>269</v>
      </c>
      <c r="C48" s="145"/>
      <c r="D48" s="177" t="s">
        <v>255</v>
      </c>
      <c r="E48" s="177">
        <v>7</v>
      </c>
      <c r="F48" s="315">
        <v>6667.98</v>
      </c>
      <c r="G48" s="315"/>
    </row>
    <row r="49" spans="1:7" x14ac:dyDescent="0.25">
      <c r="A49" s="9" t="s">
        <v>24</v>
      </c>
      <c r="B49" s="269" t="s">
        <v>551</v>
      </c>
      <c r="C49" s="270"/>
      <c r="D49" s="177"/>
      <c r="E49" s="177"/>
      <c r="F49" s="315">
        <v>2267.19</v>
      </c>
      <c r="G49" s="315"/>
    </row>
    <row r="50" spans="1:7" x14ac:dyDescent="0.25">
      <c r="A50" s="9" t="s">
        <v>117</v>
      </c>
      <c r="B50" s="144" t="s">
        <v>533</v>
      </c>
      <c r="C50" s="145"/>
      <c r="D50" s="175"/>
      <c r="E50" s="175"/>
      <c r="F50" s="315">
        <f>E27*1%</f>
        <v>555.85559999999998</v>
      </c>
      <c r="G50" s="315"/>
    </row>
    <row r="51" spans="1:7" ht="12.75" customHeight="1" x14ac:dyDescent="0.25">
      <c r="A51" s="49"/>
      <c r="B51" s="74"/>
      <c r="C51" s="74"/>
      <c r="D51" s="74"/>
      <c r="E51" s="74"/>
      <c r="F51" s="75"/>
      <c r="G51" s="75"/>
    </row>
    <row r="52" spans="1:7" ht="12.75" customHeight="1" x14ac:dyDescent="0.25">
      <c r="A52" s="49"/>
      <c r="B52" s="74"/>
      <c r="C52" s="74"/>
      <c r="D52" s="74"/>
      <c r="E52" s="74"/>
      <c r="F52" s="75"/>
      <c r="G52" s="75"/>
    </row>
    <row r="53" spans="1:7" s="3" customFormat="1" ht="6.75" customHeight="1" x14ac:dyDescent="0.25"/>
    <row r="54" spans="1:7" s="3" customFormat="1" x14ac:dyDescent="0.25">
      <c r="A54" s="3" t="s">
        <v>55</v>
      </c>
      <c r="C54" s="3" t="s">
        <v>49</v>
      </c>
      <c r="F54" s="3" t="s">
        <v>102</v>
      </c>
    </row>
    <row r="55" spans="1:7" s="3" customFormat="1" ht="9" customHeight="1" x14ac:dyDescent="0.25"/>
    <row r="56" spans="1:7" s="3" customFormat="1" ht="13.5" customHeight="1" x14ac:dyDescent="0.25">
      <c r="F56" s="4" t="s">
        <v>265</v>
      </c>
    </row>
    <row r="57" spans="1:7" s="3" customFormat="1" ht="13.5" customHeight="1" x14ac:dyDescent="0.25">
      <c r="A57" s="3" t="s">
        <v>50</v>
      </c>
    </row>
    <row r="58" spans="1:7" s="3" customFormat="1" x14ac:dyDescent="0.25">
      <c r="C58" s="14" t="s">
        <v>51</v>
      </c>
      <c r="E58" s="14"/>
      <c r="F58" s="14"/>
      <c r="G58" s="14"/>
    </row>
    <row r="59" spans="1:7" s="3" customFormat="1" x14ac:dyDescent="0.25"/>
    <row r="60" spans="1:7" s="3" customFormat="1" x14ac:dyDescent="0.25"/>
  </sheetData>
  <mergeCells count="19">
    <mergeCell ref="A11:I11"/>
    <mergeCell ref="A35:C35"/>
    <mergeCell ref="A12:I12"/>
    <mergeCell ref="A13:C13"/>
    <mergeCell ref="F43:G43"/>
    <mergeCell ref="A41:I41"/>
    <mergeCell ref="F50:G50"/>
    <mergeCell ref="F44:G44"/>
    <mergeCell ref="B44:C44"/>
    <mergeCell ref="F46:G46"/>
    <mergeCell ref="F47:G47"/>
    <mergeCell ref="F48:G48"/>
    <mergeCell ref="F45:G45"/>
    <mergeCell ref="F49:G49"/>
    <mergeCell ref="A1:I1"/>
    <mergeCell ref="A2:I2"/>
    <mergeCell ref="A5:I5"/>
    <mergeCell ref="A10:I10"/>
    <mergeCell ref="A3:K3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0.28515625" style="1" customWidth="1"/>
    <col min="3" max="3" width="13.42578125" style="1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286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F7" s="4" t="s">
        <v>125</v>
      </c>
    </row>
    <row r="8" spans="1:11" s="3" customFormat="1" x14ac:dyDescent="0.25">
      <c r="A8" s="3" t="s">
        <v>3</v>
      </c>
      <c r="F8" s="4" t="s">
        <v>126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9204.33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218" t="s">
        <v>214</v>
      </c>
      <c r="B15" s="43"/>
      <c r="C15" s="43"/>
      <c r="D15" s="44"/>
      <c r="E15" s="45"/>
      <c r="F15" s="45"/>
      <c r="G15" s="38">
        <v>-7060.03</v>
      </c>
      <c r="H15" s="40"/>
      <c r="I15" s="40"/>
    </row>
    <row r="16" spans="1:11" s="15" customFormat="1" ht="15.75" thickBot="1" x14ac:dyDescent="0.3">
      <c r="A16" s="218" t="s">
        <v>215</v>
      </c>
      <c r="B16" s="219"/>
      <c r="C16" s="219"/>
      <c r="D16" s="44"/>
      <c r="E16" s="45"/>
      <c r="F16" s="45"/>
      <c r="G16" s="38">
        <v>-53109.51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201">
        <f>SUM(C20:C23)</f>
        <v>8.9599999999999991</v>
      </c>
      <c r="D19" s="165">
        <v>153538.56</v>
      </c>
      <c r="E19" s="165">
        <v>154101.20000000001</v>
      </c>
      <c r="F19" s="165">
        <f t="shared" ref="F19:F25" si="0">D19</f>
        <v>153538.56</v>
      </c>
      <c r="G19" s="166">
        <f>E19-D19</f>
        <v>562.64000000001397</v>
      </c>
      <c r="H19" s="70">
        <f>C19</f>
        <v>8.9599999999999991</v>
      </c>
      <c r="I19" s="190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52778.880000000005</v>
      </c>
      <c r="E20" s="67">
        <f>E19*I20</f>
        <v>52972.287500000013</v>
      </c>
      <c r="F20" s="67">
        <f t="shared" si="0"/>
        <v>52778.880000000005</v>
      </c>
      <c r="G20" s="68">
        <f t="shared" ref="G20:G28" si="1">E20-D20</f>
        <v>193.40750000000844</v>
      </c>
      <c r="H20" s="70">
        <f t="shared" ref="H20:H23" si="2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25189.920000000006</v>
      </c>
      <c r="E21" s="67">
        <f>E19*I21</f>
        <v>25282.228125000005</v>
      </c>
      <c r="F21" s="67">
        <f t="shared" si="0"/>
        <v>25189.920000000006</v>
      </c>
      <c r="G21" s="68">
        <f t="shared" si="1"/>
        <v>92.308124999999563</v>
      </c>
      <c r="H21" s="70">
        <f t="shared" si="2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31016.160000000003</v>
      </c>
      <c r="E22" s="67">
        <f>E19*I22</f>
        <v>31129.818303571436</v>
      </c>
      <c r="F22" s="67">
        <f t="shared" si="0"/>
        <v>31016.160000000003</v>
      </c>
      <c r="G22" s="68">
        <f t="shared" si="1"/>
        <v>113.65830357143204</v>
      </c>
      <c r="H22" s="70">
        <f t="shared" si="2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44553.600000000006</v>
      </c>
      <c r="E23" s="67">
        <f>E19*I23</f>
        <v>44716.86607142858</v>
      </c>
      <c r="F23" s="67">
        <f t="shared" si="0"/>
        <v>44553.600000000006</v>
      </c>
      <c r="G23" s="68">
        <f t="shared" si="1"/>
        <v>163.26607142857392</v>
      </c>
      <c r="H23" s="70">
        <f t="shared" si="2"/>
        <v>2.6</v>
      </c>
      <c r="I23" s="15">
        <f>H23/H19</f>
        <v>0.29017857142857145</v>
      </c>
    </row>
    <row r="24" spans="1:9" x14ac:dyDescent="0.25">
      <c r="A24" s="137" t="s">
        <v>25</v>
      </c>
      <c r="B24" s="137" t="s">
        <v>26</v>
      </c>
      <c r="C24" s="201">
        <v>0</v>
      </c>
      <c r="D24" s="166">
        <v>0</v>
      </c>
      <c r="E24" s="166">
        <v>0</v>
      </c>
      <c r="F24" s="165">
        <f t="shared" si="0"/>
        <v>0</v>
      </c>
      <c r="G24" s="166">
        <f t="shared" si="1"/>
        <v>0</v>
      </c>
      <c r="H24" s="186"/>
      <c r="I24" s="186"/>
    </row>
    <row r="25" spans="1:9" x14ac:dyDescent="0.25">
      <c r="A25" s="137" t="s">
        <v>27</v>
      </c>
      <c r="B25" s="137" t="s">
        <v>28</v>
      </c>
      <c r="C25" s="201">
        <v>4.5999999999999996</v>
      </c>
      <c r="D25" s="166">
        <v>78825.600000000006</v>
      </c>
      <c r="E25" s="166">
        <v>79209.899999999994</v>
      </c>
      <c r="F25" s="166">
        <f t="shared" si="0"/>
        <v>78825.600000000006</v>
      </c>
      <c r="G25" s="166">
        <f t="shared" si="1"/>
        <v>384.29999999998836</v>
      </c>
      <c r="H25" s="186"/>
      <c r="I25" s="186"/>
    </row>
    <row r="26" spans="1:9" x14ac:dyDescent="0.25">
      <c r="A26" s="137" t="s">
        <v>29</v>
      </c>
      <c r="B26" s="137" t="s">
        <v>105</v>
      </c>
      <c r="C26" s="201">
        <v>0</v>
      </c>
      <c r="D26" s="166">
        <v>0</v>
      </c>
      <c r="E26" s="166">
        <v>0</v>
      </c>
      <c r="F26" s="166">
        <v>0</v>
      </c>
      <c r="G26" s="166">
        <f t="shared" si="1"/>
        <v>0</v>
      </c>
      <c r="H26" s="186"/>
      <c r="I26" s="186"/>
    </row>
    <row r="27" spans="1:9" x14ac:dyDescent="0.25">
      <c r="A27" s="137" t="s">
        <v>31</v>
      </c>
      <c r="B27" s="137" t="s">
        <v>132</v>
      </c>
      <c r="C27" s="201">
        <v>1.82</v>
      </c>
      <c r="D27" s="166">
        <v>31187.65</v>
      </c>
      <c r="E27" s="166">
        <v>31336.639999999999</v>
      </c>
      <c r="F27" s="172">
        <f>F43</f>
        <v>14883.386400000001</v>
      </c>
      <c r="G27" s="166">
        <f t="shared" si="1"/>
        <v>148.98999999999796</v>
      </c>
      <c r="H27" s="186"/>
      <c r="I27" s="186"/>
    </row>
    <row r="28" spans="1:9" x14ac:dyDescent="0.25">
      <c r="A28" s="221">
        <v>6</v>
      </c>
      <c r="B28" s="227" t="s">
        <v>248</v>
      </c>
      <c r="C28" s="202">
        <v>0</v>
      </c>
      <c r="D28" s="166">
        <v>0</v>
      </c>
      <c r="E28" s="166">
        <v>0</v>
      </c>
      <c r="F28" s="172">
        <f>D28</f>
        <v>0</v>
      </c>
      <c r="G28" s="166">
        <f t="shared" si="1"/>
        <v>0</v>
      </c>
      <c r="H28" s="186"/>
      <c r="I28" s="186"/>
    </row>
    <row r="29" spans="1:9" x14ac:dyDescent="0.25">
      <c r="A29" s="221">
        <f>A28+1</f>
        <v>7</v>
      </c>
      <c r="B29" s="137" t="s">
        <v>36</v>
      </c>
      <c r="C29" s="201"/>
      <c r="D29" s="166">
        <f>SUM(D30:D33)</f>
        <v>804822.88000000012</v>
      </c>
      <c r="E29" s="166">
        <f>SUM(E30:E33)</f>
        <v>810340.49</v>
      </c>
      <c r="F29" s="166">
        <f>SUM(F30:F33)</f>
        <v>804822.88000000012</v>
      </c>
      <c r="G29" s="166">
        <f>SUM(G30:G33)</f>
        <v>5517.610000000017</v>
      </c>
      <c r="H29" s="186"/>
      <c r="I29" s="186"/>
    </row>
    <row r="30" spans="1:9" x14ac:dyDescent="0.25">
      <c r="A30" s="98" t="s">
        <v>37</v>
      </c>
      <c r="B30" s="9" t="s">
        <v>106</v>
      </c>
      <c r="C30" s="152" t="s">
        <v>245</v>
      </c>
      <c r="D30" s="68">
        <v>14482.1</v>
      </c>
      <c r="E30" s="68">
        <v>14555.77</v>
      </c>
      <c r="F30" s="68">
        <f>D30</f>
        <v>14482.1</v>
      </c>
      <c r="G30" s="68">
        <f>E30-D30</f>
        <v>73.670000000000073</v>
      </c>
    </row>
    <row r="31" spans="1:9" x14ac:dyDescent="0.25">
      <c r="A31" s="98" t="s">
        <v>39</v>
      </c>
      <c r="B31" s="9" t="s">
        <v>171</v>
      </c>
      <c r="C31" s="152" t="s">
        <v>246</v>
      </c>
      <c r="D31" s="68">
        <v>98808.47</v>
      </c>
      <c r="E31" s="68">
        <v>98448.67</v>
      </c>
      <c r="F31" s="68">
        <f>D31</f>
        <v>98808.47</v>
      </c>
      <c r="G31" s="68">
        <f>E31-D31</f>
        <v>-359.80000000000291</v>
      </c>
    </row>
    <row r="32" spans="1:9" x14ac:dyDescent="0.25">
      <c r="A32" s="98" t="s">
        <v>42</v>
      </c>
      <c r="B32" s="9" t="s">
        <v>173</v>
      </c>
      <c r="C32" s="213" t="s">
        <v>504</v>
      </c>
      <c r="D32" s="68">
        <v>167863.6</v>
      </c>
      <c r="E32" s="68">
        <v>168792.88</v>
      </c>
      <c r="F32" s="68">
        <f>D32</f>
        <v>167863.6</v>
      </c>
      <c r="G32" s="68">
        <f>E32-D32</f>
        <v>929.27999999999884</v>
      </c>
    </row>
    <row r="33" spans="1:10" x14ac:dyDescent="0.25">
      <c r="A33" s="98" t="s">
        <v>41</v>
      </c>
      <c r="B33" s="9" t="s">
        <v>43</v>
      </c>
      <c r="C33" s="152" t="s">
        <v>247</v>
      </c>
      <c r="D33" s="68">
        <v>523668.71</v>
      </c>
      <c r="E33" s="68">
        <v>528543.17000000004</v>
      </c>
      <c r="F33" s="68">
        <f>D33</f>
        <v>523668.71</v>
      </c>
      <c r="G33" s="68">
        <f>E33-D33</f>
        <v>4874.460000000021</v>
      </c>
    </row>
    <row r="34" spans="1:10" s="20" customFormat="1" ht="5.2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2590.7900000000373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218" t="s">
        <v>242</v>
      </c>
      <c r="B37" s="219"/>
      <c r="C37" s="219"/>
      <c r="D37" s="44"/>
      <c r="E37" s="45"/>
      <c r="F37" s="45"/>
      <c r="G37" s="38">
        <f>G15+E26-F26</f>
        <v>-7060.03</v>
      </c>
      <c r="H37" s="40"/>
      <c r="I37" s="40"/>
    </row>
    <row r="38" spans="1:10" s="15" customFormat="1" ht="15.75" thickBot="1" x14ac:dyDescent="0.3">
      <c r="A38" s="218" t="s">
        <v>243</v>
      </c>
      <c r="B38" s="219"/>
      <c r="C38" s="219"/>
      <c r="D38" s="44"/>
      <c r="E38" s="45"/>
      <c r="F38" s="45"/>
      <c r="G38" s="38">
        <f>G16+E27-F27</f>
        <v>-36656.256400000006</v>
      </c>
      <c r="H38" s="40"/>
      <c r="I38" s="40"/>
    </row>
    <row r="39" spans="1:10" s="15" customFormat="1" x14ac:dyDescent="0.25">
      <c r="A39" s="220"/>
      <c r="B39" s="41"/>
      <c r="C39" s="41"/>
      <c r="D39" s="42"/>
      <c r="E39" s="39"/>
      <c r="F39" s="39"/>
      <c r="G39" s="42"/>
      <c r="H39" s="40"/>
      <c r="I39" s="40"/>
    </row>
    <row r="40" spans="1:10" s="15" customFormat="1" ht="25.5" customHeight="1" x14ac:dyDescent="0.25">
      <c r="A40" s="340" t="s">
        <v>44</v>
      </c>
      <c r="B40" s="340"/>
      <c r="C40" s="340"/>
      <c r="D40" s="340"/>
      <c r="E40" s="340"/>
      <c r="F40" s="340"/>
      <c r="G40" s="340"/>
      <c r="H40" s="340"/>
      <c r="I40" s="340"/>
    </row>
    <row r="42" spans="1:10" ht="28.5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07"/>
      <c r="H42" s="7"/>
      <c r="I42" s="7"/>
    </row>
    <row r="43" spans="1:10" s="7" customFormat="1" x14ac:dyDescent="0.25">
      <c r="A43" s="11" t="s">
        <v>47</v>
      </c>
      <c r="B43" s="308" t="s">
        <v>127</v>
      </c>
      <c r="C43" s="309"/>
      <c r="D43" s="176"/>
      <c r="E43" s="176"/>
      <c r="F43" s="316">
        <f>SUM(F44:L48)</f>
        <v>14883.386400000001</v>
      </c>
      <c r="G43" s="312"/>
      <c r="H43" s="12"/>
      <c r="I43" s="12"/>
    </row>
    <row r="44" spans="1:10" s="12" customFormat="1" ht="13.5" customHeight="1" x14ac:dyDescent="0.25">
      <c r="A44" s="9" t="s">
        <v>16</v>
      </c>
      <c r="B44" s="298" t="s">
        <v>352</v>
      </c>
      <c r="C44" s="299"/>
      <c r="D44" s="177" t="s">
        <v>255</v>
      </c>
      <c r="E44" s="177">
        <v>6</v>
      </c>
      <c r="F44" s="329">
        <v>4824.1499999999996</v>
      </c>
      <c r="G44" s="330"/>
      <c r="H44" s="1"/>
      <c r="I44" s="1"/>
    </row>
    <row r="45" spans="1:10" ht="13.5" customHeight="1" x14ac:dyDescent="0.25">
      <c r="A45" s="9" t="s">
        <v>18</v>
      </c>
      <c r="B45" s="298" t="s">
        <v>353</v>
      </c>
      <c r="C45" s="299"/>
      <c r="D45" s="177" t="s">
        <v>295</v>
      </c>
      <c r="E45" s="177">
        <v>0.2</v>
      </c>
      <c r="F45" s="315">
        <v>882.25</v>
      </c>
      <c r="G45" s="315"/>
    </row>
    <row r="46" spans="1:10" ht="13.5" customHeight="1" x14ac:dyDescent="0.25">
      <c r="A46" s="9" t="s">
        <v>20</v>
      </c>
      <c r="B46" s="298" t="s">
        <v>354</v>
      </c>
      <c r="C46" s="299"/>
      <c r="D46" s="177" t="s">
        <v>262</v>
      </c>
      <c r="E46" s="177">
        <v>3</v>
      </c>
      <c r="F46" s="329">
        <v>4356.5600000000004</v>
      </c>
      <c r="G46" s="330"/>
    </row>
    <row r="47" spans="1:10" ht="13.5" customHeight="1" x14ac:dyDescent="0.25">
      <c r="A47" s="9" t="s">
        <v>22</v>
      </c>
      <c r="B47" s="298" t="s">
        <v>355</v>
      </c>
      <c r="C47" s="299"/>
      <c r="D47" s="177" t="s">
        <v>292</v>
      </c>
      <c r="E47" s="177">
        <v>0.34</v>
      </c>
      <c r="F47" s="329">
        <v>4507.0600000000004</v>
      </c>
      <c r="G47" s="330"/>
    </row>
    <row r="48" spans="1:10" ht="13.5" customHeight="1" x14ac:dyDescent="0.25">
      <c r="A48" s="9" t="s">
        <v>24</v>
      </c>
      <c r="B48" s="216" t="s">
        <v>533</v>
      </c>
      <c r="C48" s="217"/>
      <c r="D48" s="177"/>
      <c r="E48" s="177"/>
      <c r="F48" s="315">
        <f>E27*1%</f>
        <v>313.3664</v>
      </c>
      <c r="G48" s="315"/>
    </row>
    <row r="49" spans="1:9" s="3" customFormat="1" ht="6" customHeight="1" x14ac:dyDescent="0.25">
      <c r="H49" s="1"/>
      <c r="I49" s="1"/>
    </row>
    <row r="50" spans="1:9" s="3" customFormat="1" x14ac:dyDescent="0.25">
      <c r="A50" s="3" t="s">
        <v>55</v>
      </c>
      <c r="C50" s="3" t="s">
        <v>49</v>
      </c>
      <c r="F50" s="3" t="s">
        <v>102</v>
      </c>
      <c r="H50" s="1"/>
      <c r="I50" s="1"/>
    </row>
    <row r="51" spans="1:9" s="3" customFormat="1" ht="12.75" customHeight="1" x14ac:dyDescent="0.25">
      <c r="F51" s="4" t="s">
        <v>265</v>
      </c>
      <c r="H51" s="1"/>
      <c r="I51" s="1"/>
    </row>
    <row r="52" spans="1:9" s="3" customFormat="1" x14ac:dyDescent="0.25">
      <c r="A52" s="3" t="s">
        <v>50</v>
      </c>
      <c r="H52" s="1"/>
      <c r="I52" s="1"/>
    </row>
    <row r="53" spans="1:9" s="3" customFormat="1" x14ac:dyDescent="0.25">
      <c r="C53" s="14" t="s">
        <v>51</v>
      </c>
      <c r="E53" s="14"/>
      <c r="F53" s="14"/>
      <c r="G53" s="14"/>
      <c r="H53" s="1"/>
      <c r="I53" s="1"/>
    </row>
    <row r="54" spans="1:9" s="3" customFormat="1" x14ac:dyDescent="0.25"/>
    <row r="55" spans="1:9" s="3" customFormat="1" x14ac:dyDescent="0.25"/>
  </sheetData>
  <mergeCells count="23">
    <mergeCell ref="A3:K3"/>
    <mergeCell ref="A1:I1"/>
    <mergeCell ref="A2:I2"/>
    <mergeCell ref="A5:I5"/>
    <mergeCell ref="A10:I10"/>
    <mergeCell ref="A12:I12"/>
    <mergeCell ref="A11:I11"/>
    <mergeCell ref="F43:G43"/>
    <mergeCell ref="B43:C43"/>
    <mergeCell ref="B44:C44"/>
    <mergeCell ref="F48:G48"/>
    <mergeCell ref="F46:G46"/>
    <mergeCell ref="A13:C13"/>
    <mergeCell ref="F44:G44"/>
    <mergeCell ref="F47:G47"/>
    <mergeCell ref="F45:G45"/>
    <mergeCell ref="A35:C35"/>
    <mergeCell ref="A40:I40"/>
    <mergeCell ref="B42:C42"/>
    <mergeCell ref="F42:G42"/>
    <mergeCell ref="B45:C45"/>
    <mergeCell ref="B46:C46"/>
    <mergeCell ref="B47:C47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7.85546875" style="1" customWidth="1"/>
    <col min="3" max="3" width="13" style="1" customWidth="1"/>
    <col min="4" max="5" width="12.7109375" style="1" customWidth="1"/>
    <col min="6" max="6" width="15.2851562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F7" s="4" t="s">
        <v>142</v>
      </c>
    </row>
    <row r="8" spans="1:11" s="3" customFormat="1" x14ac:dyDescent="0.25">
      <c r="A8" s="3" t="s">
        <v>3</v>
      </c>
      <c r="F8" s="4" t="s">
        <v>143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49102.09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13787.77</v>
      </c>
      <c r="H15" s="40"/>
      <c r="I15" s="40"/>
    </row>
    <row r="16" spans="1:11" s="15" customFormat="1" ht="15.75" thickBot="1" x14ac:dyDescent="0.3">
      <c r="A16" s="218" t="s">
        <v>215</v>
      </c>
      <c r="B16" s="219"/>
      <c r="C16" s="219"/>
      <c r="D16" s="44"/>
      <c r="E16" s="45"/>
      <c r="F16" s="45"/>
      <c r="G16" s="38">
        <v>123174.69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15" customHeight="1" x14ac:dyDescent="0.25">
      <c r="A19" s="187" t="s">
        <v>14</v>
      </c>
      <c r="B19" s="137" t="s">
        <v>15</v>
      </c>
      <c r="C19" s="201">
        <f>SUM(C20:C23)</f>
        <v>8.9599999999999991</v>
      </c>
      <c r="D19" s="165">
        <v>409670.66</v>
      </c>
      <c r="E19" s="165">
        <v>408940.38</v>
      </c>
      <c r="F19" s="165">
        <f t="shared" ref="F19:F25" si="0">D19</f>
        <v>409670.66</v>
      </c>
      <c r="G19" s="166">
        <f>E19-D19</f>
        <v>-730.27999999996973</v>
      </c>
      <c r="H19" s="70">
        <f>C19</f>
        <v>8.9599999999999991</v>
      </c>
      <c r="I19" s="190"/>
    </row>
    <row r="20" spans="1:9" s="3" customFormat="1" ht="15" customHeight="1" x14ac:dyDescent="0.25">
      <c r="A20" s="8" t="s">
        <v>16</v>
      </c>
      <c r="B20" s="9" t="s">
        <v>17</v>
      </c>
      <c r="C20" s="157">
        <v>3.08</v>
      </c>
      <c r="D20" s="67">
        <f>D19*I20</f>
        <v>140824.28937500002</v>
      </c>
      <c r="E20" s="67">
        <f>E19*I20</f>
        <v>140573.25562500002</v>
      </c>
      <c r="F20" s="67">
        <f t="shared" si="0"/>
        <v>140824.28937500002</v>
      </c>
      <c r="G20" s="68">
        <f t="shared" ref="G20:G28" si="1">E20-D20</f>
        <v>-251.03375000000233</v>
      </c>
      <c r="H20" s="70">
        <f t="shared" ref="H20:H23" si="2">C20</f>
        <v>3.08</v>
      </c>
      <c r="I20" s="15">
        <f>H20/H19</f>
        <v>0.34375000000000006</v>
      </c>
    </row>
    <row r="21" spans="1:9" s="3" customFormat="1" ht="15" customHeight="1" x14ac:dyDescent="0.25">
      <c r="A21" s="8" t="s">
        <v>18</v>
      </c>
      <c r="B21" s="9" t="s">
        <v>19</v>
      </c>
      <c r="C21" s="157">
        <v>1.47</v>
      </c>
      <c r="D21" s="67">
        <f>D19*I21</f>
        <v>67211.59265625001</v>
      </c>
      <c r="E21" s="67">
        <f>E19*I21</f>
        <v>67091.781093750018</v>
      </c>
      <c r="F21" s="67">
        <f t="shared" si="0"/>
        <v>67211.59265625001</v>
      </c>
      <c r="G21" s="68">
        <f t="shared" si="1"/>
        <v>-119.81156249999185</v>
      </c>
      <c r="H21" s="70">
        <f t="shared" si="2"/>
        <v>1.47</v>
      </c>
      <c r="I21" s="15">
        <f>H21/H19</f>
        <v>0.16406250000000003</v>
      </c>
    </row>
    <row r="22" spans="1:9" s="3" customFormat="1" ht="15" customHeight="1" x14ac:dyDescent="0.25">
      <c r="A22" s="8" t="s">
        <v>20</v>
      </c>
      <c r="B22" s="9" t="s">
        <v>21</v>
      </c>
      <c r="C22" s="157">
        <v>1.81</v>
      </c>
      <c r="D22" s="67">
        <f>D19*I22</f>
        <v>82757.131093750009</v>
      </c>
      <c r="E22" s="67">
        <f>E19*I22</f>
        <v>82609.608013392877</v>
      </c>
      <c r="F22" s="67">
        <f t="shared" si="0"/>
        <v>82757.131093750009</v>
      </c>
      <c r="G22" s="68">
        <f t="shared" si="1"/>
        <v>-147.52308035713213</v>
      </c>
      <c r="H22" s="70">
        <f t="shared" si="2"/>
        <v>1.81</v>
      </c>
      <c r="I22" s="15">
        <f>H22/H19</f>
        <v>0.2020089285714286</v>
      </c>
    </row>
    <row r="23" spans="1:9" s="3" customFormat="1" ht="15" customHeight="1" x14ac:dyDescent="0.25">
      <c r="A23" s="8" t="s">
        <v>22</v>
      </c>
      <c r="B23" s="9" t="s">
        <v>23</v>
      </c>
      <c r="C23" s="152">
        <v>2.6</v>
      </c>
      <c r="D23" s="67">
        <f>D19*I23</f>
        <v>118877.64687500001</v>
      </c>
      <c r="E23" s="67">
        <f>E19*I23</f>
        <v>118665.73526785715</v>
      </c>
      <c r="F23" s="67">
        <f t="shared" si="0"/>
        <v>118877.64687500001</v>
      </c>
      <c r="G23" s="68">
        <f t="shared" si="1"/>
        <v>-211.91160714285797</v>
      </c>
      <c r="H23" s="70">
        <f t="shared" si="2"/>
        <v>2.6</v>
      </c>
      <c r="I23" s="15">
        <f>H23/H19</f>
        <v>0.29017857142857145</v>
      </c>
    </row>
    <row r="24" spans="1:9" ht="15" customHeight="1" x14ac:dyDescent="0.25">
      <c r="A24" s="137" t="s">
        <v>25</v>
      </c>
      <c r="B24" s="137" t="s">
        <v>26</v>
      </c>
      <c r="C24" s="201">
        <v>3.43</v>
      </c>
      <c r="D24" s="166">
        <v>156827.42000000001</v>
      </c>
      <c r="E24" s="166">
        <v>156624.71</v>
      </c>
      <c r="F24" s="165">
        <f t="shared" si="0"/>
        <v>156827.42000000001</v>
      </c>
      <c r="G24" s="166">
        <f t="shared" si="1"/>
        <v>-202.71000000002095</v>
      </c>
      <c r="H24" s="186"/>
      <c r="I24" s="186"/>
    </row>
    <row r="25" spans="1:9" ht="15" customHeight="1" x14ac:dyDescent="0.25">
      <c r="A25" s="137" t="s">
        <v>27</v>
      </c>
      <c r="B25" s="137" t="s">
        <v>28</v>
      </c>
      <c r="C25" s="201">
        <v>4.5999999999999996</v>
      </c>
      <c r="D25" s="166">
        <v>210322.12</v>
      </c>
      <c r="E25" s="166">
        <v>209987.33</v>
      </c>
      <c r="F25" s="166">
        <f t="shared" si="0"/>
        <v>210322.12</v>
      </c>
      <c r="G25" s="166">
        <f t="shared" si="1"/>
        <v>-334.79000000000815</v>
      </c>
      <c r="H25" s="186"/>
      <c r="I25" s="186"/>
    </row>
    <row r="26" spans="1:9" ht="15" customHeight="1" x14ac:dyDescent="0.25">
      <c r="A26" s="137" t="s">
        <v>29</v>
      </c>
      <c r="B26" s="137" t="s">
        <v>356</v>
      </c>
      <c r="C26" s="201">
        <v>1</v>
      </c>
      <c r="D26" s="166">
        <v>45722.2</v>
      </c>
      <c r="E26" s="166">
        <v>45664.21</v>
      </c>
      <c r="F26" s="166">
        <f>D26</f>
        <v>45722.2</v>
      </c>
      <c r="G26" s="166">
        <f t="shared" si="1"/>
        <v>-57.989999999997963</v>
      </c>
      <c r="H26" s="186"/>
      <c r="I26" s="186"/>
    </row>
    <row r="27" spans="1:9" ht="15" customHeight="1" x14ac:dyDescent="0.25">
      <c r="A27" s="137" t="s">
        <v>31</v>
      </c>
      <c r="B27" s="137" t="s">
        <v>132</v>
      </c>
      <c r="C27" s="201">
        <v>1.82</v>
      </c>
      <c r="D27" s="166">
        <v>83214.240000000005</v>
      </c>
      <c r="E27" s="166">
        <v>83213.37</v>
      </c>
      <c r="F27" s="172">
        <f>F43</f>
        <v>7300.4137000000001</v>
      </c>
      <c r="G27" s="166">
        <f t="shared" si="1"/>
        <v>-0.8700000000098953</v>
      </c>
      <c r="H27" s="186"/>
      <c r="I27" s="186"/>
    </row>
    <row r="28" spans="1:9" ht="15" customHeight="1" x14ac:dyDescent="0.25">
      <c r="A28" s="221">
        <v>6</v>
      </c>
      <c r="B28" s="227" t="s">
        <v>248</v>
      </c>
      <c r="C28" s="202">
        <v>0</v>
      </c>
      <c r="D28" s="166">
        <v>0</v>
      </c>
      <c r="E28" s="166">
        <v>0</v>
      </c>
      <c r="F28" s="172">
        <f>D28</f>
        <v>0</v>
      </c>
      <c r="G28" s="166">
        <f t="shared" si="1"/>
        <v>0</v>
      </c>
      <c r="H28" s="186"/>
      <c r="I28" s="186"/>
    </row>
    <row r="29" spans="1:9" ht="15" customHeight="1" x14ac:dyDescent="0.25">
      <c r="A29" s="221">
        <f>A28+1</f>
        <v>7</v>
      </c>
      <c r="B29" s="137" t="s">
        <v>36</v>
      </c>
      <c r="C29" s="201"/>
      <c r="D29" s="166">
        <f>SUM(D30:D33)</f>
        <v>2295914.88</v>
      </c>
      <c r="E29" s="166">
        <f>SUM(E30:E33)</f>
        <v>2316490.94</v>
      </c>
      <c r="F29" s="166">
        <f>SUM(F30:F33)</f>
        <v>2295914.88</v>
      </c>
      <c r="G29" s="166">
        <f>SUM(G30:G33)</f>
        <v>20576.059999999925</v>
      </c>
      <c r="H29" s="186"/>
      <c r="I29" s="186"/>
    </row>
    <row r="30" spans="1:9" ht="15" customHeight="1" x14ac:dyDescent="0.25">
      <c r="A30" s="98" t="s">
        <v>37</v>
      </c>
      <c r="B30" s="9" t="s">
        <v>106</v>
      </c>
      <c r="C30" s="152" t="s">
        <v>245</v>
      </c>
      <c r="D30" s="68">
        <v>71258.34</v>
      </c>
      <c r="E30" s="68">
        <v>71205.86</v>
      </c>
      <c r="F30" s="68">
        <f>D30</f>
        <v>71258.34</v>
      </c>
      <c r="G30" s="68">
        <f>E30-D30</f>
        <v>-52.479999999995925</v>
      </c>
    </row>
    <row r="31" spans="1:9" ht="15" customHeight="1" x14ac:dyDescent="0.25">
      <c r="A31" s="98" t="s">
        <v>39</v>
      </c>
      <c r="B31" s="9" t="s">
        <v>171</v>
      </c>
      <c r="C31" s="152" t="s">
        <v>246</v>
      </c>
      <c r="D31" s="68">
        <v>294606.89</v>
      </c>
      <c r="E31" s="68">
        <v>296469.15000000002</v>
      </c>
      <c r="F31" s="68">
        <f>D31</f>
        <v>294606.89</v>
      </c>
      <c r="G31" s="68">
        <f>E31-D31</f>
        <v>1862.2600000000093</v>
      </c>
    </row>
    <row r="32" spans="1:9" ht="15" customHeight="1" x14ac:dyDescent="0.25">
      <c r="A32" s="98" t="s">
        <v>42</v>
      </c>
      <c r="B32" s="9" t="s">
        <v>173</v>
      </c>
      <c r="C32" s="213" t="s">
        <v>504</v>
      </c>
      <c r="D32" s="68">
        <v>552737.63</v>
      </c>
      <c r="E32" s="68">
        <v>567305.44999999995</v>
      </c>
      <c r="F32" s="68">
        <f>D32</f>
        <v>552737.63</v>
      </c>
      <c r="G32" s="68">
        <f>E32-D32</f>
        <v>14567.819999999949</v>
      </c>
    </row>
    <row r="33" spans="1:10" ht="15" customHeight="1" x14ac:dyDescent="0.25">
      <c r="A33" s="98" t="s">
        <v>41</v>
      </c>
      <c r="B33" s="9" t="s">
        <v>43</v>
      </c>
      <c r="C33" s="152" t="s">
        <v>247</v>
      </c>
      <c r="D33" s="68">
        <v>1377312.02</v>
      </c>
      <c r="E33" s="68">
        <v>1381510.48</v>
      </c>
      <c r="F33" s="68">
        <f>D33</f>
        <v>1377312.02</v>
      </c>
      <c r="G33" s="68">
        <f>E33-D33</f>
        <v>4198.4599999999627</v>
      </c>
    </row>
    <row r="34" spans="1:10" s="20" customFormat="1" ht="5.2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29852.669999999925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6.5" customHeight="1" thickBot="1" x14ac:dyDescent="0.3">
      <c r="A37" s="218" t="s">
        <v>242</v>
      </c>
      <c r="B37" s="219"/>
      <c r="C37" s="219"/>
      <c r="D37" s="44"/>
      <c r="E37" s="45"/>
      <c r="F37" s="45"/>
      <c r="G37" s="38">
        <f>G15</f>
        <v>13787.77</v>
      </c>
      <c r="H37" s="40"/>
      <c r="I37" s="40"/>
    </row>
    <row r="38" spans="1:10" s="15" customFormat="1" ht="16.5" customHeight="1" thickBot="1" x14ac:dyDescent="0.3">
      <c r="A38" s="218" t="s">
        <v>243</v>
      </c>
      <c r="B38" s="219"/>
      <c r="C38" s="219"/>
      <c r="D38" s="44"/>
      <c r="E38" s="45"/>
      <c r="F38" s="45"/>
      <c r="G38" s="38">
        <f>G16+E27-F27</f>
        <v>199087.64629999999</v>
      </c>
      <c r="H38" s="40"/>
      <c r="I38" s="40"/>
    </row>
    <row r="39" spans="1:10" s="15" customFormat="1" ht="16.5" customHeight="1" x14ac:dyDescent="0.25">
      <c r="A39" s="220"/>
      <c r="B39" s="41"/>
      <c r="C39" s="41"/>
      <c r="D39" s="42"/>
      <c r="E39" s="39"/>
      <c r="F39" s="39"/>
      <c r="G39" s="42"/>
      <c r="H39" s="40"/>
      <c r="I39" s="40"/>
    </row>
    <row r="40" spans="1:10" ht="26.25" customHeight="1" x14ac:dyDescent="0.25">
      <c r="A40" s="340" t="s">
        <v>44</v>
      </c>
      <c r="B40" s="340"/>
      <c r="C40" s="340"/>
      <c r="D40" s="340"/>
      <c r="E40" s="340"/>
      <c r="F40" s="340"/>
      <c r="G40" s="340"/>
      <c r="H40" s="340"/>
      <c r="I40" s="340"/>
    </row>
    <row r="41" spans="1:10" ht="3.75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07"/>
    </row>
    <row r="43" spans="1:10" s="12" customFormat="1" ht="13.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SUM(F44:L45)</f>
        <v>7300.4137000000001</v>
      </c>
      <c r="G43" s="312"/>
    </row>
    <row r="44" spans="1:10" ht="13.5" customHeight="1" x14ac:dyDescent="0.25">
      <c r="A44" s="9" t="s">
        <v>16</v>
      </c>
      <c r="B44" s="298" t="s">
        <v>283</v>
      </c>
      <c r="C44" s="299"/>
      <c r="D44" s="177" t="s">
        <v>262</v>
      </c>
      <c r="E44" s="177">
        <v>2</v>
      </c>
      <c r="F44" s="329">
        <v>6468.28</v>
      </c>
      <c r="G44" s="330"/>
    </row>
    <row r="45" spans="1:10" ht="13.5" customHeight="1" x14ac:dyDescent="0.25">
      <c r="A45" s="9" t="s">
        <v>24</v>
      </c>
      <c r="B45" s="216" t="s">
        <v>533</v>
      </c>
      <c r="C45" s="217"/>
      <c r="D45" s="177"/>
      <c r="E45" s="177"/>
      <c r="F45" s="315">
        <f>E27*1%</f>
        <v>832.13369999999998</v>
      </c>
      <c r="G45" s="315"/>
    </row>
    <row r="46" spans="1:10" ht="13.5" customHeight="1" x14ac:dyDescent="0.25">
      <c r="A46" s="3"/>
      <c r="B46" s="3"/>
      <c r="C46" s="3"/>
      <c r="D46" s="3"/>
      <c r="E46" s="3"/>
      <c r="F46" s="3"/>
      <c r="G46" s="3"/>
    </row>
    <row r="47" spans="1:10" s="3" customFormat="1" x14ac:dyDescent="0.25">
      <c r="A47" s="3" t="s">
        <v>55</v>
      </c>
      <c r="C47" s="3" t="s">
        <v>49</v>
      </c>
      <c r="F47" s="3" t="s">
        <v>102</v>
      </c>
      <c r="H47" s="1"/>
      <c r="I47" s="1"/>
    </row>
    <row r="48" spans="1:10" s="3" customFormat="1" x14ac:dyDescent="0.25">
      <c r="F48" s="4" t="s">
        <v>265</v>
      </c>
      <c r="H48" s="1"/>
      <c r="I48" s="1"/>
    </row>
    <row r="49" spans="1:9" s="3" customFormat="1" ht="13.5" customHeight="1" x14ac:dyDescent="0.25">
      <c r="A49" s="3" t="s">
        <v>50</v>
      </c>
      <c r="H49" s="1"/>
      <c r="I49" s="1"/>
    </row>
    <row r="50" spans="1:9" s="3" customFormat="1" x14ac:dyDescent="0.25">
      <c r="C50" s="14" t="s">
        <v>51</v>
      </c>
      <c r="E50" s="14"/>
      <c r="F50" s="14"/>
      <c r="G50" s="14"/>
    </row>
    <row r="51" spans="1:9" s="3" customFormat="1" x14ac:dyDescent="0.25"/>
  </sheetData>
  <mergeCells count="17">
    <mergeCell ref="A12:I12"/>
    <mergeCell ref="A13:C13"/>
    <mergeCell ref="A35:C35"/>
    <mergeCell ref="B42:C42"/>
    <mergeCell ref="F45:G45"/>
    <mergeCell ref="F43:G43"/>
    <mergeCell ref="A40:I40"/>
    <mergeCell ref="F42:G42"/>
    <mergeCell ref="F44:G44"/>
    <mergeCell ref="B43:C43"/>
    <mergeCell ref="B44:C44"/>
    <mergeCell ref="A1:I1"/>
    <mergeCell ref="A2:I2"/>
    <mergeCell ref="A3:K3"/>
    <mergeCell ref="A5:I5"/>
    <mergeCell ref="A11:I11"/>
    <mergeCell ref="A10:I10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0.42578125" style="1" customWidth="1"/>
    <col min="3" max="3" width="13.28515625" style="1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F7" s="4" t="s">
        <v>148</v>
      </c>
    </row>
    <row r="8" spans="1:11" s="3" customFormat="1" x14ac:dyDescent="0.25">
      <c r="A8" s="3" t="s">
        <v>3</v>
      </c>
      <c r="F8" s="4" t="s">
        <v>147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329153.91999999998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408618.17</v>
      </c>
      <c r="H15" s="40"/>
      <c r="I15" s="40"/>
    </row>
    <row r="16" spans="1:11" s="15" customFormat="1" ht="15.75" thickBot="1" x14ac:dyDescent="0.3">
      <c r="A16" s="218" t="s">
        <v>215</v>
      </c>
      <c r="B16" s="219"/>
      <c r="C16" s="219"/>
      <c r="D16" s="44"/>
      <c r="E16" s="45"/>
      <c r="F16" s="45"/>
      <c r="G16" s="38">
        <v>-33227.519999999997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201">
        <f>SUM(C20:C23)</f>
        <v>8.9599999999999991</v>
      </c>
      <c r="D19" s="165">
        <v>419956.92</v>
      </c>
      <c r="E19" s="165">
        <v>413313.89</v>
      </c>
      <c r="F19" s="165">
        <f t="shared" ref="F19:F25" si="0">D19</f>
        <v>419956.92</v>
      </c>
      <c r="G19" s="166">
        <f>E19-D19</f>
        <v>-6643.0299999999697</v>
      </c>
      <c r="H19" s="70">
        <f>C19</f>
        <v>8.9599999999999991</v>
      </c>
      <c r="I19" s="190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144360.19125</v>
      </c>
      <c r="E20" s="67">
        <f>E19*I20</f>
        <v>142076.64968750003</v>
      </c>
      <c r="F20" s="67">
        <f t="shared" si="0"/>
        <v>144360.19125</v>
      </c>
      <c r="G20" s="68">
        <f t="shared" ref="G20:G28" si="1">E20-D20</f>
        <v>-2283.5415624999732</v>
      </c>
      <c r="H20" s="70">
        <f t="shared" ref="H20:H23" si="2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68899.182187500002</v>
      </c>
      <c r="E21" s="67">
        <f>E19*I21</f>
        <v>67809.31007812501</v>
      </c>
      <c r="F21" s="67">
        <f t="shared" si="0"/>
        <v>68899.182187500002</v>
      </c>
      <c r="G21" s="68">
        <f t="shared" si="1"/>
        <v>-1089.8721093749919</v>
      </c>
      <c r="H21" s="70">
        <f t="shared" si="2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84835.047455357155</v>
      </c>
      <c r="E22" s="67">
        <f>E19*I22</f>
        <v>83493.096082589298</v>
      </c>
      <c r="F22" s="67">
        <f t="shared" si="0"/>
        <v>84835.047455357155</v>
      </c>
      <c r="G22" s="68">
        <f t="shared" si="1"/>
        <v>-1341.9513727678568</v>
      </c>
      <c r="H22" s="70">
        <f t="shared" si="2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121862.49910714287</v>
      </c>
      <c r="E23" s="67">
        <f>E19*I23</f>
        <v>119934.83415178573</v>
      </c>
      <c r="F23" s="67">
        <f t="shared" si="0"/>
        <v>121862.49910714287</v>
      </c>
      <c r="G23" s="68">
        <f t="shared" si="1"/>
        <v>-1927.6649553571333</v>
      </c>
      <c r="H23" s="70">
        <f t="shared" si="2"/>
        <v>2.6</v>
      </c>
      <c r="I23" s="15">
        <f>H23/H19</f>
        <v>0.29017857142857145</v>
      </c>
    </row>
    <row r="24" spans="1:9" x14ac:dyDescent="0.25">
      <c r="A24" s="137" t="s">
        <v>25</v>
      </c>
      <c r="B24" s="137" t="s">
        <v>26</v>
      </c>
      <c r="C24" s="201">
        <v>0</v>
      </c>
      <c r="D24" s="166">
        <v>0</v>
      </c>
      <c r="E24" s="166">
        <v>0</v>
      </c>
      <c r="F24" s="165">
        <f t="shared" si="0"/>
        <v>0</v>
      </c>
      <c r="G24" s="166">
        <f t="shared" si="1"/>
        <v>0</v>
      </c>
      <c r="H24" s="186"/>
      <c r="I24" s="186"/>
    </row>
    <row r="25" spans="1:9" x14ac:dyDescent="0.25">
      <c r="A25" s="137" t="s">
        <v>27</v>
      </c>
      <c r="B25" s="137" t="s">
        <v>28</v>
      </c>
      <c r="C25" s="201">
        <v>4.5999999999999996</v>
      </c>
      <c r="D25" s="166">
        <v>215602.92</v>
      </c>
      <c r="E25" s="166">
        <v>211413.71</v>
      </c>
      <c r="F25" s="166">
        <f t="shared" si="0"/>
        <v>215602.92</v>
      </c>
      <c r="G25" s="166">
        <f t="shared" si="1"/>
        <v>-4189.210000000021</v>
      </c>
      <c r="H25" s="186"/>
      <c r="I25" s="186"/>
    </row>
    <row r="26" spans="1:9" x14ac:dyDescent="0.25">
      <c r="A26" s="137" t="s">
        <v>29</v>
      </c>
      <c r="B26" s="137" t="s">
        <v>105</v>
      </c>
      <c r="C26" s="201">
        <v>0</v>
      </c>
      <c r="D26" s="166">
        <v>0</v>
      </c>
      <c r="E26" s="166">
        <v>442.33</v>
      </c>
      <c r="F26" s="166">
        <v>0</v>
      </c>
      <c r="G26" s="166">
        <f t="shared" si="1"/>
        <v>442.33</v>
      </c>
      <c r="H26" s="186"/>
      <c r="I26" s="186"/>
    </row>
    <row r="27" spans="1:9" x14ac:dyDescent="0.25">
      <c r="A27" s="137" t="s">
        <v>31</v>
      </c>
      <c r="B27" s="137" t="s">
        <v>132</v>
      </c>
      <c r="C27" s="201">
        <v>1.82</v>
      </c>
      <c r="D27" s="166">
        <v>85303.8</v>
      </c>
      <c r="E27" s="166">
        <v>84768.7</v>
      </c>
      <c r="F27" s="172">
        <f>F43</f>
        <v>47615.99700000001</v>
      </c>
      <c r="G27" s="166">
        <f t="shared" si="1"/>
        <v>-535.10000000000582</v>
      </c>
      <c r="H27" s="186"/>
      <c r="I27" s="186"/>
    </row>
    <row r="28" spans="1:9" x14ac:dyDescent="0.25">
      <c r="A28" s="221">
        <v>6</v>
      </c>
      <c r="B28" s="227" t="s">
        <v>248</v>
      </c>
      <c r="C28" s="202">
        <v>36.56</v>
      </c>
      <c r="D28" s="166">
        <v>346.56</v>
      </c>
      <c r="E28" s="166">
        <v>329.57</v>
      </c>
      <c r="F28" s="172">
        <f>D28</f>
        <v>346.56</v>
      </c>
      <c r="G28" s="166">
        <f t="shared" si="1"/>
        <v>-16.990000000000009</v>
      </c>
      <c r="H28" s="186"/>
      <c r="I28" s="186"/>
    </row>
    <row r="29" spans="1:9" x14ac:dyDescent="0.25">
      <c r="A29" s="221">
        <f>A28+1</f>
        <v>7</v>
      </c>
      <c r="B29" s="137" t="s">
        <v>36</v>
      </c>
      <c r="C29" s="201"/>
      <c r="D29" s="166">
        <f>SUM(D30:D33)</f>
        <v>2251454.25</v>
      </c>
      <c r="E29" s="166">
        <f>SUM(E30:E33)</f>
        <v>2211226.42</v>
      </c>
      <c r="F29" s="166">
        <f>SUM(F30:F33)</f>
        <v>2251454.25</v>
      </c>
      <c r="G29" s="166">
        <f>SUM(G30:G33)</f>
        <v>-40227.83000000014</v>
      </c>
      <c r="H29" s="186"/>
      <c r="I29" s="186"/>
    </row>
    <row r="30" spans="1:9" x14ac:dyDescent="0.25">
      <c r="A30" s="98" t="s">
        <v>37</v>
      </c>
      <c r="B30" s="9" t="s">
        <v>106</v>
      </c>
      <c r="C30" s="152" t="s">
        <v>245</v>
      </c>
      <c r="D30" s="68">
        <v>43219.53</v>
      </c>
      <c r="E30" s="68">
        <v>41889.879999999997</v>
      </c>
      <c r="F30" s="68">
        <f>D30</f>
        <v>43219.53</v>
      </c>
      <c r="G30" s="68">
        <f>E30-D30</f>
        <v>-1329.6500000000015</v>
      </c>
    </row>
    <row r="31" spans="1:9" x14ac:dyDescent="0.25">
      <c r="A31" s="98" t="s">
        <v>39</v>
      </c>
      <c r="B31" s="9" t="s">
        <v>171</v>
      </c>
      <c r="C31" s="152" t="s">
        <v>246</v>
      </c>
      <c r="D31" s="68">
        <v>259632.97</v>
      </c>
      <c r="E31" s="68">
        <v>269899.59000000003</v>
      </c>
      <c r="F31" s="68">
        <f>D31</f>
        <v>259632.97</v>
      </c>
      <c r="G31" s="68">
        <f>E31-D31</f>
        <v>10266.620000000024</v>
      </c>
    </row>
    <row r="32" spans="1:9" x14ac:dyDescent="0.25">
      <c r="A32" s="98" t="s">
        <v>42</v>
      </c>
      <c r="B32" s="9" t="s">
        <v>173</v>
      </c>
      <c r="C32" s="213" t="s">
        <v>504</v>
      </c>
      <c r="D32" s="68">
        <v>537149.89</v>
      </c>
      <c r="E32" s="68">
        <v>535537.94999999995</v>
      </c>
      <c r="F32" s="68">
        <f>D32</f>
        <v>537149.89</v>
      </c>
      <c r="G32" s="68">
        <f>E32-D32</f>
        <v>-1611.9400000000605</v>
      </c>
    </row>
    <row r="33" spans="1:10" x14ac:dyDescent="0.25">
      <c r="A33" s="98" t="s">
        <v>41</v>
      </c>
      <c r="B33" s="9" t="s">
        <v>43</v>
      </c>
      <c r="C33" s="152" t="s">
        <v>247</v>
      </c>
      <c r="D33" s="68">
        <v>1411451.86</v>
      </c>
      <c r="E33" s="68">
        <v>1363899</v>
      </c>
      <c r="F33" s="68">
        <f>D33</f>
        <v>1411451.86</v>
      </c>
      <c r="G33" s="68">
        <f>E33-D33</f>
        <v>-47552.860000000102</v>
      </c>
    </row>
    <row r="34" spans="1:10" s="20" customFormat="1" ht="5.2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380323.75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218" t="s">
        <v>242</v>
      </c>
      <c r="B37" s="219"/>
      <c r="C37" s="219"/>
      <c r="D37" s="44"/>
      <c r="E37" s="45"/>
      <c r="F37" s="45"/>
      <c r="G37" s="38">
        <f>G15+E26</f>
        <v>409060.5</v>
      </c>
      <c r="H37" s="40"/>
      <c r="I37" s="40"/>
    </row>
    <row r="38" spans="1:10" s="15" customFormat="1" ht="15.75" thickBot="1" x14ac:dyDescent="0.3">
      <c r="A38" s="218" t="s">
        <v>243</v>
      </c>
      <c r="B38" s="219"/>
      <c r="C38" s="219"/>
      <c r="D38" s="44"/>
      <c r="E38" s="45"/>
      <c r="F38" s="45"/>
      <c r="G38" s="38">
        <f>G16+E27-F27</f>
        <v>3925.18299999999</v>
      </c>
      <c r="H38" s="40"/>
      <c r="I38" s="40"/>
    </row>
    <row r="39" spans="1:10" s="15" customFormat="1" x14ac:dyDescent="0.25">
      <c r="A39" s="220"/>
      <c r="B39" s="41"/>
      <c r="C39" s="41"/>
      <c r="D39" s="42"/>
      <c r="E39" s="39"/>
      <c r="F39" s="39"/>
      <c r="G39" s="42"/>
      <c r="H39" s="40"/>
      <c r="I39" s="40"/>
    </row>
    <row r="40" spans="1:10" ht="26.25" customHeight="1" x14ac:dyDescent="0.25">
      <c r="A40" s="340" t="s">
        <v>44</v>
      </c>
      <c r="B40" s="340"/>
      <c r="C40" s="340"/>
      <c r="D40" s="340"/>
      <c r="E40" s="340"/>
      <c r="F40" s="340"/>
      <c r="G40" s="340"/>
      <c r="H40" s="340"/>
      <c r="I40" s="340"/>
    </row>
    <row r="41" spans="1:10" ht="3.75" customHeight="1" x14ac:dyDescent="0.25"/>
    <row r="42" spans="1:10" s="7" customFormat="1" ht="28.5" customHeight="1" x14ac:dyDescent="0.25">
      <c r="A42" s="5" t="s">
        <v>11</v>
      </c>
      <c r="B42" s="306" t="s">
        <v>45</v>
      </c>
      <c r="C42" s="307"/>
      <c r="D42" s="5" t="s">
        <v>254</v>
      </c>
      <c r="E42" s="5" t="s">
        <v>253</v>
      </c>
      <c r="F42" s="306" t="s">
        <v>46</v>
      </c>
      <c r="G42" s="307"/>
    </row>
    <row r="43" spans="1:10" s="12" customFormat="1" ht="13.5" customHeight="1" x14ac:dyDescent="0.25">
      <c r="A43" s="11" t="s">
        <v>47</v>
      </c>
      <c r="B43" s="308" t="s">
        <v>127</v>
      </c>
      <c r="C43" s="309"/>
      <c r="D43" s="176"/>
      <c r="E43" s="176"/>
      <c r="F43" s="316">
        <f>SUM(F44:L51)</f>
        <v>47615.99700000001</v>
      </c>
      <c r="G43" s="312"/>
    </row>
    <row r="44" spans="1:10" ht="13.5" customHeight="1" x14ac:dyDescent="0.25">
      <c r="A44" s="9" t="s">
        <v>16</v>
      </c>
      <c r="B44" s="298" t="s">
        <v>357</v>
      </c>
      <c r="C44" s="299"/>
      <c r="D44" s="177" t="s">
        <v>255</v>
      </c>
      <c r="E44" s="177">
        <v>6</v>
      </c>
      <c r="F44" s="329">
        <v>11348.5</v>
      </c>
      <c r="G44" s="330"/>
    </row>
    <row r="45" spans="1:10" ht="13.5" customHeight="1" x14ac:dyDescent="0.25">
      <c r="A45" s="9" t="s">
        <v>18</v>
      </c>
      <c r="B45" s="298" t="s">
        <v>335</v>
      </c>
      <c r="C45" s="299"/>
      <c r="D45" s="177" t="s">
        <v>262</v>
      </c>
      <c r="E45" s="177">
        <v>2</v>
      </c>
      <c r="F45" s="315">
        <v>13081.51</v>
      </c>
      <c r="G45" s="315"/>
    </row>
    <row r="46" spans="1:10" ht="13.5" customHeight="1" x14ac:dyDescent="0.25">
      <c r="A46" s="9" t="s">
        <v>20</v>
      </c>
      <c r="B46" s="298" t="s">
        <v>299</v>
      </c>
      <c r="C46" s="299"/>
      <c r="D46" s="177" t="s">
        <v>255</v>
      </c>
      <c r="E46" s="177">
        <v>5</v>
      </c>
      <c r="F46" s="329">
        <v>6078.33</v>
      </c>
      <c r="G46" s="330"/>
    </row>
    <row r="47" spans="1:10" ht="13.5" customHeight="1" x14ac:dyDescent="0.25">
      <c r="A47" s="9" t="s">
        <v>22</v>
      </c>
      <c r="B47" s="298" t="s">
        <v>335</v>
      </c>
      <c r="C47" s="299"/>
      <c r="D47" s="177" t="s">
        <v>262</v>
      </c>
      <c r="E47" s="177">
        <v>1</v>
      </c>
      <c r="F47" s="329">
        <v>5664.18</v>
      </c>
      <c r="G47" s="330"/>
    </row>
    <row r="48" spans="1:10" ht="13.5" customHeight="1" x14ac:dyDescent="0.25">
      <c r="A48" s="9" t="s">
        <v>24</v>
      </c>
      <c r="B48" s="298" t="s">
        <v>358</v>
      </c>
      <c r="C48" s="299"/>
      <c r="D48" s="177" t="s">
        <v>295</v>
      </c>
      <c r="E48" s="177">
        <v>200</v>
      </c>
      <c r="F48" s="329">
        <v>2216.8000000000002</v>
      </c>
      <c r="G48" s="330"/>
    </row>
    <row r="49" spans="1:9" ht="13.5" customHeight="1" x14ac:dyDescent="0.25">
      <c r="A49" s="9" t="s">
        <v>117</v>
      </c>
      <c r="B49" s="298" t="s">
        <v>359</v>
      </c>
      <c r="C49" s="299"/>
      <c r="D49" s="177" t="s">
        <v>255</v>
      </c>
      <c r="E49" s="177">
        <v>3.5</v>
      </c>
      <c r="F49" s="329">
        <v>5528.87</v>
      </c>
      <c r="G49" s="330"/>
    </row>
    <row r="50" spans="1:9" ht="13.5" customHeight="1" x14ac:dyDescent="0.25">
      <c r="A50" s="9" t="s">
        <v>118</v>
      </c>
      <c r="B50" s="298" t="s">
        <v>360</v>
      </c>
      <c r="C50" s="299"/>
      <c r="D50" s="177" t="s">
        <v>262</v>
      </c>
      <c r="E50" s="177">
        <v>2</v>
      </c>
      <c r="F50" s="329">
        <v>2850.12</v>
      </c>
      <c r="G50" s="330"/>
    </row>
    <row r="51" spans="1:9" ht="13.5" customHeight="1" x14ac:dyDescent="0.25">
      <c r="A51" s="9" t="s">
        <v>133</v>
      </c>
      <c r="B51" s="216" t="s">
        <v>533</v>
      </c>
      <c r="C51" s="217"/>
      <c r="D51" s="177"/>
      <c r="E51" s="177"/>
      <c r="F51" s="315">
        <f>E27*1%</f>
        <v>847.68700000000001</v>
      </c>
      <c r="G51" s="315"/>
      <c r="H51" s="3"/>
      <c r="I51" s="3"/>
    </row>
    <row r="52" spans="1:9" ht="13.5" customHeight="1" x14ac:dyDescent="0.25">
      <c r="A52" s="3"/>
      <c r="B52" s="3"/>
      <c r="C52" s="3"/>
      <c r="D52" s="3"/>
      <c r="E52" s="3"/>
      <c r="F52" s="3"/>
      <c r="G52" s="3"/>
    </row>
    <row r="53" spans="1:9" ht="13.5" customHeight="1" x14ac:dyDescent="0.25">
      <c r="A53" s="3" t="s">
        <v>55</v>
      </c>
      <c r="B53" s="3"/>
      <c r="C53" s="3" t="s">
        <v>49</v>
      </c>
      <c r="D53" s="3"/>
      <c r="E53" s="3"/>
      <c r="F53" s="3" t="s">
        <v>102</v>
      </c>
      <c r="G53" s="3"/>
    </row>
    <row r="54" spans="1:9" ht="13.5" customHeight="1" x14ac:dyDescent="0.25">
      <c r="A54" s="3"/>
      <c r="B54" s="3"/>
      <c r="C54" s="3"/>
      <c r="D54" s="3"/>
      <c r="E54" s="3"/>
      <c r="F54" s="4" t="s">
        <v>265</v>
      </c>
      <c r="G54" s="3"/>
    </row>
    <row r="55" spans="1:9" ht="13.5" customHeight="1" x14ac:dyDescent="0.25">
      <c r="A55" s="3" t="s">
        <v>50</v>
      </c>
      <c r="B55" s="3"/>
      <c r="C55" s="3"/>
      <c r="D55" s="3"/>
      <c r="E55" s="3"/>
      <c r="F55" s="3"/>
      <c r="G55" s="3"/>
    </row>
    <row r="56" spans="1:9" ht="13.5" customHeight="1" x14ac:dyDescent="0.25">
      <c r="A56" s="3"/>
      <c r="B56" s="3"/>
      <c r="C56" s="14" t="s">
        <v>51</v>
      </c>
      <c r="D56" s="3"/>
      <c r="E56" s="14"/>
      <c r="F56" s="14"/>
      <c r="G56" s="14"/>
    </row>
    <row r="57" spans="1:9" s="3" customFormat="1" x14ac:dyDescent="0.25"/>
    <row r="58" spans="1:9" s="3" customFormat="1" x14ac:dyDescent="0.25"/>
    <row r="59" spans="1:9" s="3" customFormat="1" x14ac:dyDescent="0.25"/>
  </sheetData>
  <mergeCells count="29">
    <mergeCell ref="F51:G51"/>
    <mergeCell ref="A12:I12"/>
    <mergeCell ref="A13:C13"/>
    <mergeCell ref="A35:C35"/>
    <mergeCell ref="A40:I40"/>
    <mergeCell ref="F46:G46"/>
    <mergeCell ref="F42:G42"/>
    <mergeCell ref="F44:G44"/>
    <mergeCell ref="F45:G45"/>
    <mergeCell ref="F43:G43"/>
    <mergeCell ref="B42:C42"/>
    <mergeCell ref="B43:C43"/>
    <mergeCell ref="F47:G47"/>
    <mergeCell ref="F48:G48"/>
    <mergeCell ref="F49:G49"/>
    <mergeCell ref="B49:C49"/>
    <mergeCell ref="A11:I11"/>
    <mergeCell ref="A1:I1"/>
    <mergeCell ref="A2:I2"/>
    <mergeCell ref="A3:K3"/>
    <mergeCell ref="A5:I5"/>
    <mergeCell ref="A10:I10"/>
    <mergeCell ref="B50:C50"/>
    <mergeCell ref="F50:G50"/>
    <mergeCell ref="B44:C44"/>
    <mergeCell ref="B45:C45"/>
    <mergeCell ref="B46:C46"/>
    <mergeCell ref="B47:C47"/>
    <mergeCell ref="B48:C48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D35" sqref="D35"/>
    </sheetView>
  </sheetViews>
  <sheetFormatPr defaultRowHeight="15" outlineLevelCol="1" x14ac:dyDescent="0.25"/>
  <cols>
    <col min="1" max="1" width="4.7109375" style="1" customWidth="1"/>
    <col min="2" max="2" width="40.7109375" style="1" customWidth="1"/>
    <col min="3" max="3" width="13.42578125" style="1" customWidth="1"/>
    <col min="4" max="5" width="12.7109375" style="1" customWidth="1"/>
    <col min="6" max="6" width="14.570312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F7" s="4" t="s">
        <v>144</v>
      </c>
    </row>
    <row r="8" spans="1:11" s="3" customFormat="1" x14ac:dyDescent="0.25">
      <c r="A8" s="3" t="s">
        <v>3</v>
      </c>
      <c r="F8" s="4" t="s">
        <v>159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300397.43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0</v>
      </c>
      <c r="H15" s="40"/>
      <c r="I15" s="40"/>
    </row>
    <row r="16" spans="1:11" s="15" customFormat="1" ht="15.75" thickBot="1" x14ac:dyDescent="0.3">
      <c r="A16" s="218" t="s">
        <v>215</v>
      </c>
      <c r="B16" s="219"/>
      <c r="C16" s="219"/>
      <c r="D16" s="44"/>
      <c r="E16" s="45"/>
      <c r="F16" s="45"/>
      <c r="G16" s="38">
        <v>46593.7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314829.59999999998</v>
      </c>
      <c r="E19" s="165">
        <v>309144.74</v>
      </c>
      <c r="F19" s="165">
        <f t="shared" ref="F19:F26" si="0">D19</f>
        <v>314829.59999999998</v>
      </c>
      <c r="G19" s="166">
        <f t="shared" ref="G19:G28" si="1">E19-D19</f>
        <v>-5684.859999999986</v>
      </c>
      <c r="H19" s="162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113412.30035087718</v>
      </c>
      <c r="E20" s="67">
        <f>E19*I20</f>
        <v>111364.42095906431</v>
      </c>
      <c r="F20" s="67">
        <f t="shared" si="0"/>
        <v>113412.30035087718</v>
      </c>
      <c r="G20" s="68">
        <f t="shared" si="1"/>
        <v>-2047.8793918128649</v>
      </c>
      <c r="H20" s="162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55601.484912280692</v>
      </c>
      <c r="E21" s="67">
        <f>E19*I21</f>
        <v>54597.492093567242</v>
      </c>
      <c r="F21" s="67">
        <f t="shared" si="0"/>
        <v>55601.484912280692</v>
      </c>
      <c r="G21" s="68">
        <f t="shared" si="1"/>
        <v>-1003.9928187134501</v>
      </c>
      <c r="H21" s="162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50078.158596491223</v>
      </c>
      <c r="E22" s="67">
        <f>E19*I22</f>
        <v>49173.900163742685</v>
      </c>
      <c r="F22" s="67">
        <f t="shared" si="0"/>
        <v>50078.158596491223</v>
      </c>
      <c r="G22" s="68">
        <f t="shared" si="1"/>
        <v>-904.25843274853833</v>
      </c>
      <c r="H22" s="162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95737.656140350868</v>
      </c>
      <c r="E23" s="67">
        <f>E19*I23</f>
        <v>94008.92678362572</v>
      </c>
      <c r="F23" s="67">
        <f t="shared" si="0"/>
        <v>95737.656140350868</v>
      </c>
      <c r="G23" s="68">
        <f t="shared" si="1"/>
        <v>-1728.7293567251472</v>
      </c>
      <c r="H23" s="162">
        <f t="shared" si="2"/>
        <v>2.6</v>
      </c>
      <c r="I23" s="15">
        <f>H23/H19</f>
        <v>0.30409356725146197</v>
      </c>
    </row>
    <row r="24" spans="1:9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169381.2</v>
      </c>
      <c r="E25" s="166">
        <v>166224.84</v>
      </c>
      <c r="F25" s="166">
        <f t="shared" si="0"/>
        <v>169381.2</v>
      </c>
      <c r="G25" s="166">
        <f t="shared" si="1"/>
        <v>-3156.3600000000151</v>
      </c>
    </row>
    <row r="26" spans="1:9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60757.8</v>
      </c>
      <c r="E27" s="166">
        <v>60056.91</v>
      </c>
      <c r="F27" s="172">
        <f>F42</f>
        <v>26864.149100000002</v>
      </c>
      <c r="G27" s="166">
        <f t="shared" si="1"/>
        <v>-700.88999999999942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1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1604581.2000000002</v>
      </c>
      <c r="E29" s="166">
        <f>SUM(E30:E33)</f>
        <v>1576725.52</v>
      </c>
      <c r="F29" s="166">
        <f>SUM(F30:F33)</f>
        <v>1604581.2000000002</v>
      </c>
      <c r="G29" s="166">
        <f>SUM(G30:G33)</f>
        <v>-27855.680000000055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18813.77</v>
      </c>
      <c r="E30" s="68">
        <v>18328.400000000001</v>
      </c>
      <c r="F30" s="68">
        <f>D30</f>
        <v>18813.77</v>
      </c>
      <c r="G30" s="68">
        <f>E30-D30</f>
        <v>-485.36999999999898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476557.37</v>
      </c>
      <c r="E31" s="68">
        <v>465219.38</v>
      </c>
      <c r="F31" s="68">
        <f>D31</f>
        <v>476557.37</v>
      </c>
      <c r="G31" s="68">
        <f>E31-D31</f>
        <v>-11337.989999999991</v>
      </c>
    </row>
    <row r="32" spans="1:9" s="97" customFormat="1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.75" thickBot="1" x14ac:dyDescent="0.3">
      <c r="A33" s="9" t="s">
        <v>41</v>
      </c>
      <c r="B33" s="9" t="s">
        <v>43</v>
      </c>
      <c r="C33" s="152" t="s">
        <v>247</v>
      </c>
      <c r="D33" s="68">
        <v>1109210.06</v>
      </c>
      <c r="E33" s="68">
        <v>1093177.74</v>
      </c>
      <c r="F33" s="68">
        <f>D33</f>
        <v>1109210.06</v>
      </c>
      <c r="G33" s="68">
        <f>E33-D33</f>
        <v>-16032.320000000065</v>
      </c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337795.2200000002</v>
      </c>
      <c r="E34" s="39"/>
      <c r="F34" s="39"/>
      <c r="G34" s="39"/>
      <c r="H34" s="22"/>
      <c r="I34" s="22"/>
      <c r="J34" s="22"/>
    </row>
    <row r="35" spans="1:10" s="15" customFormat="1" ht="8.2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218" t="s">
        <v>242</v>
      </c>
      <c r="B36" s="219"/>
      <c r="C36" s="219"/>
      <c r="D36" s="44"/>
      <c r="E36" s="45"/>
      <c r="F36" s="45"/>
      <c r="G36" s="38">
        <f>G15+E28-F28</f>
        <v>0</v>
      </c>
      <c r="H36" s="40"/>
      <c r="I36" s="40"/>
    </row>
    <row r="37" spans="1:10" s="15" customFormat="1" ht="15.75" thickBot="1" x14ac:dyDescent="0.3">
      <c r="A37" s="218" t="s">
        <v>243</v>
      </c>
      <c r="B37" s="219"/>
      <c r="C37" s="219"/>
      <c r="D37" s="44"/>
      <c r="E37" s="45"/>
      <c r="F37" s="45"/>
      <c r="G37" s="38">
        <f>G16+E27-F27</f>
        <v>79786.460900000005</v>
      </c>
      <c r="H37" s="40"/>
      <c r="I37" s="40"/>
    </row>
    <row r="38" spans="1:10" s="15" customFormat="1" x14ac:dyDescent="0.25">
      <c r="A38" s="140"/>
      <c r="B38" s="41"/>
      <c r="C38" s="41"/>
      <c r="D38" s="42"/>
      <c r="E38" s="39"/>
      <c r="F38" s="39"/>
      <c r="G38" s="42"/>
      <c r="H38" s="40"/>
      <c r="I38" s="40"/>
    </row>
    <row r="39" spans="1:10" ht="28.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3.75" customHeight="1" x14ac:dyDescent="0.25"/>
    <row r="41" spans="1:10" s="7" customFormat="1" ht="28.5" customHeight="1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</row>
    <row r="42" spans="1:10" s="12" customFormat="1" ht="13.5" customHeight="1" x14ac:dyDescent="0.25">
      <c r="A42" s="11" t="s">
        <v>47</v>
      </c>
      <c r="B42" s="308" t="s">
        <v>127</v>
      </c>
      <c r="C42" s="309"/>
      <c r="D42" s="176"/>
      <c r="E42" s="176"/>
      <c r="F42" s="316">
        <f>SUM(F43:L50)</f>
        <v>26864.149100000002</v>
      </c>
      <c r="G42" s="312"/>
    </row>
    <row r="43" spans="1:10" ht="13.5" customHeight="1" x14ac:dyDescent="0.25">
      <c r="A43" s="9" t="s">
        <v>16</v>
      </c>
      <c r="B43" s="298" t="s">
        <v>363</v>
      </c>
      <c r="C43" s="299"/>
      <c r="D43" s="177" t="s">
        <v>295</v>
      </c>
      <c r="E43" s="177">
        <v>5.8</v>
      </c>
      <c r="F43" s="329">
        <v>2225.16</v>
      </c>
      <c r="G43" s="330"/>
    </row>
    <row r="44" spans="1:10" ht="13.5" customHeight="1" x14ac:dyDescent="0.25">
      <c r="A44" s="9" t="s">
        <v>18</v>
      </c>
      <c r="B44" s="298" t="s">
        <v>361</v>
      </c>
      <c r="C44" s="299"/>
      <c r="D44" s="177" t="s">
        <v>362</v>
      </c>
      <c r="E44" s="177">
        <v>3</v>
      </c>
      <c r="F44" s="315">
        <v>360</v>
      </c>
      <c r="G44" s="315"/>
    </row>
    <row r="45" spans="1:10" ht="13.5" customHeight="1" x14ac:dyDescent="0.25">
      <c r="A45" s="9" t="s">
        <v>20</v>
      </c>
      <c r="B45" s="298" t="s">
        <v>232</v>
      </c>
      <c r="C45" s="299"/>
      <c r="D45" s="177" t="s">
        <v>295</v>
      </c>
      <c r="E45" s="177">
        <v>870</v>
      </c>
      <c r="F45" s="329">
        <v>8519.0400000000009</v>
      </c>
      <c r="G45" s="330"/>
    </row>
    <row r="46" spans="1:10" ht="13.5" customHeight="1" x14ac:dyDescent="0.25">
      <c r="A46" s="9" t="s">
        <v>22</v>
      </c>
      <c r="B46" s="298" t="s">
        <v>364</v>
      </c>
      <c r="C46" s="299"/>
      <c r="D46" s="177"/>
      <c r="E46" s="177"/>
      <c r="F46" s="329">
        <v>8344.49</v>
      </c>
      <c r="G46" s="330"/>
    </row>
    <row r="47" spans="1:10" s="3" customFormat="1" ht="15" customHeight="1" x14ac:dyDescent="0.25">
      <c r="A47" s="9" t="s">
        <v>24</v>
      </c>
      <c r="B47" s="298" t="s">
        <v>365</v>
      </c>
      <c r="C47" s="299"/>
      <c r="D47" s="177" t="s">
        <v>262</v>
      </c>
      <c r="E47" s="177">
        <v>4</v>
      </c>
      <c r="F47" s="329">
        <v>1067.52</v>
      </c>
      <c r="G47" s="330"/>
      <c r="H47" s="1"/>
      <c r="I47" s="1"/>
    </row>
    <row r="48" spans="1:10" s="3" customFormat="1" ht="15" customHeight="1" x14ac:dyDescent="0.25">
      <c r="A48" s="9" t="s">
        <v>117</v>
      </c>
      <c r="B48" s="298" t="s">
        <v>366</v>
      </c>
      <c r="C48" s="299"/>
      <c r="D48" s="177" t="s">
        <v>295</v>
      </c>
      <c r="E48" s="177">
        <v>20</v>
      </c>
      <c r="F48" s="329">
        <v>555.20000000000005</v>
      </c>
      <c r="G48" s="330"/>
      <c r="H48" s="1"/>
      <c r="I48" s="1"/>
    </row>
    <row r="49" spans="1:9" s="3" customFormat="1" ht="15" customHeight="1" x14ac:dyDescent="0.25">
      <c r="A49" s="9" t="s">
        <v>118</v>
      </c>
      <c r="B49" s="298" t="s">
        <v>367</v>
      </c>
      <c r="C49" s="299"/>
      <c r="D49" s="177" t="s">
        <v>295</v>
      </c>
      <c r="E49" s="177">
        <v>15</v>
      </c>
      <c r="F49" s="329">
        <v>5192.17</v>
      </c>
      <c r="G49" s="330"/>
      <c r="H49" s="1"/>
      <c r="I49" s="1"/>
    </row>
    <row r="50" spans="1:9" s="3" customFormat="1" ht="13.5" customHeight="1" x14ac:dyDescent="0.25">
      <c r="A50" s="9" t="s">
        <v>133</v>
      </c>
      <c r="B50" s="216" t="s">
        <v>533</v>
      </c>
      <c r="C50" s="217"/>
      <c r="D50" s="177"/>
      <c r="E50" s="177"/>
      <c r="F50" s="315">
        <f>E27*1%</f>
        <v>600.56910000000005</v>
      </c>
      <c r="G50" s="315"/>
    </row>
    <row r="51" spans="1:9" s="3" customFormat="1" x14ac:dyDescent="0.25">
      <c r="H51" s="1"/>
      <c r="I51" s="1"/>
    </row>
    <row r="52" spans="1:9" s="3" customFormat="1" x14ac:dyDescent="0.25">
      <c r="A52" s="3" t="s">
        <v>55</v>
      </c>
      <c r="C52" s="3" t="s">
        <v>49</v>
      </c>
      <c r="F52" s="3" t="s">
        <v>102</v>
      </c>
      <c r="H52" s="1"/>
      <c r="I52" s="1"/>
    </row>
    <row r="53" spans="1:9" s="3" customFormat="1" x14ac:dyDescent="0.25">
      <c r="F53" s="4" t="s">
        <v>265</v>
      </c>
      <c r="H53" s="1"/>
      <c r="I53" s="1"/>
    </row>
    <row r="54" spans="1:9" s="3" customFormat="1" x14ac:dyDescent="0.25">
      <c r="A54" s="3" t="s">
        <v>50</v>
      </c>
      <c r="H54" s="1"/>
      <c r="I54" s="1"/>
    </row>
    <row r="55" spans="1:9" x14ac:dyDescent="0.25">
      <c r="A55" s="3"/>
      <c r="B55" s="3"/>
      <c r="C55" s="14" t="s">
        <v>51</v>
      </c>
      <c r="D55" s="3"/>
      <c r="E55" s="14"/>
      <c r="F55" s="14"/>
      <c r="G55" s="14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</sheetData>
  <mergeCells count="29">
    <mergeCell ref="A1:I1"/>
    <mergeCell ref="A2:I2"/>
    <mergeCell ref="A3:K3"/>
    <mergeCell ref="A5:I5"/>
    <mergeCell ref="B44:C44"/>
    <mergeCell ref="F44:G44"/>
    <mergeCell ref="A10:I10"/>
    <mergeCell ref="A12:I12"/>
    <mergeCell ref="A13:C13"/>
    <mergeCell ref="A11:I11"/>
    <mergeCell ref="F45:G45"/>
    <mergeCell ref="A34:C34"/>
    <mergeCell ref="B41:C41"/>
    <mergeCell ref="B42:C42"/>
    <mergeCell ref="B43:C43"/>
    <mergeCell ref="B45:C45"/>
    <mergeCell ref="F43:G43"/>
    <mergeCell ref="F42:G42"/>
    <mergeCell ref="A39:I39"/>
    <mergeCell ref="F41:G41"/>
    <mergeCell ref="F50:G50"/>
    <mergeCell ref="B49:C49"/>
    <mergeCell ref="F49:G49"/>
    <mergeCell ref="B46:C46"/>
    <mergeCell ref="B47:C47"/>
    <mergeCell ref="F47:G47"/>
    <mergeCell ref="B48:C48"/>
    <mergeCell ref="F48:G48"/>
    <mergeCell ref="F46:G46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F47" sqref="F47:G47"/>
    </sheetView>
  </sheetViews>
  <sheetFormatPr defaultRowHeight="15" outlineLevelCol="1" x14ac:dyDescent="0.25"/>
  <cols>
    <col min="1" max="1" width="4.7109375" style="1" customWidth="1"/>
    <col min="2" max="2" width="44.28515625" style="1" customWidth="1"/>
    <col min="3" max="3" width="13.7109375" style="1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13.42578125" style="1" customWidth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6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4.2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3" customHeight="1" x14ac:dyDescent="0.25"/>
    <row r="7" spans="1:11" s="3" customFormat="1" ht="16.5" customHeight="1" x14ac:dyDescent="0.25">
      <c r="A7" s="3" t="s">
        <v>2</v>
      </c>
      <c r="F7" s="4" t="s">
        <v>146</v>
      </c>
    </row>
    <row r="8" spans="1:11" s="3" customFormat="1" x14ac:dyDescent="0.25">
      <c r="A8" s="3" t="s">
        <v>3</v>
      </c>
      <c r="F8" s="4" t="s">
        <v>145</v>
      </c>
    </row>
    <row r="9" spans="1:11" s="3" customFormat="1" ht="6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161789.89000000001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0</v>
      </c>
      <c r="H15" s="40"/>
      <c r="I15" s="40"/>
    </row>
    <row r="16" spans="1:11" s="15" customFormat="1" ht="15.75" thickBot="1" x14ac:dyDescent="0.3">
      <c r="A16" s="218" t="s">
        <v>215</v>
      </c>
      <c r="B16" s="219"/>
      <c r="C16" s="219"/>
      <c r="D16" s="44"/>
      <c r="E16" s="45"/>
      <c r="F16" s="45"/>
      <c r="G16" s="38">
        <v>56862.02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180">
        <f>C20+C21+C22+C23</f>
        <v>8.5500000000000007</v>
      </c>
      <c r="D19" s="165">
        <v>317678.90000000002</v>
      </c>
      <c r="E19" s="165">
        <v>307738.01</v>
      </c>
      <c r="F19" s="165">
        <f t="shared" ref="F19:F26" si="0">D19</f>
        <v>317678.90000000002</v>
      </c>
      <c r="G19" s="166">
        <f t="shared" ref="G19:G28" si="1">E19-D19</f>
        <v>-9940.890000000014</v>
      </c>
      <c r="H19" s="162">
        <f>C19</f>
        <v>8.5500000000000007</v>
      </c>
      <c r="I19" s="15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114438.71485380117</v>
      </c>
      <c r="E20" s="67">
        <f>E19*I20</f>
        <v>110857.6690994152</v>
      </c>
      <c r="F20" s="67">
        <f t="shared" si="0"/>
        <v>114438.71485380117</v>
      </c>
      <c r="G20" s="68">
        <f t="shared" si="1"/>
        <v>-3581.0457543859666</v>
      </c>
      <c r="H20" s="162">
        <f t="shared" ref="H20:H23" si="2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56104.694619883041</v>
      </c>
      <c r="E21" s="67">
        <f>E19*I21</f>
        <v>54349.05205847953</v>
      </c>
      <c r="F21" s="67">
        <f t="shared" si="0"/>
        <v>56104.694619883041</v>
      </c>
      <c r="G21" s="68">
        <f t="shared" si="1"/>
        <v>-1755.6425614035106</v>
      </c>
      <c r="H21" s="162">
        <f t="shared" si="2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50531.380584795319</v>
      </c>
      <c r="E22" s="67">
        <f>E19*I22</f>
        <v>48950.139602339179</v>
      </c>
      <c r="F22" s="67">
        <f t="shared" si="0"/>
        <v>50531.380584795319</v>
      </c>
      <c r="G22" s="68">
        <f t="shared" si="1"/>
        <v>-1581.24098245614</v>
      </c>
      <c r="H22" s="162">
        <f t="shared" si="2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96604.109941520466</v>
      </c>
      <c r="E23" s="67">
        <f>E19*I23</f>
        <v>93581.149239766077</v>
      </c>
      <c r="F23" s="67">
        <f t="shared" si="0"/>
        <v>96604.109941520466</v>
      </c>
      <c r="G23" s="68">
        <f t="shared" si="1"/>
        <v>-3022.9607017543894</v>
      </c>
      <c r="H23" s="162">
        <f t="shared" si="2"/>
        <v>2.6</v>
      </c>
      <c r="I23" s="15">
        <f>H23/H19</f>
        <v>0.30409356725146197</v>
      </c>
    </row>
    <row r="24" spans="1:9" ht="15" customHeight="1" x14ac:dyDescent="0.25">
      <c r="A24" s="137" t="s">
        <v>25</v>
      </c>
      <c r="B24" s="170" t="s">
        <v>170</v>
      </c>
      <c r="C24" s="201">
        <v>0</v>
      </c>
      <c r="D24" s="166">
        <v>0</v>
      </c>
      <c r="E24" s="166">
        <v>0</v>
      </c>
      <c r="F24" s="166">
        <f t="shared" si="0"/>
        <v>0</v>
      </c>
      <c r="G24" s="166">
        <f t="shared" si="1"/>
        <v>0</v>
      </c>
    </row>
    <row r="25" spans="1:9" x14ac:dyDescent="0.25">
      <c r="A25" s="137" t="s">
        <v>27</v>
      </c>
      <c r="B25" s="170" t="s">
        <v>28</v>
      </c>
      <c r="C25" s="201">
        <v>4.5999999999999996</v>
      </c>
      <c r="D25" s="166">
        <v>170913.92000000001</v>
      </c>
      <c r="E25" s="166">
        <v>165278.81</v>
      </c>
      <c r="F25" s="166">
        <f t="shared" si="0"/>
        <v>170913.92000000001</v>
      </c>
      <c r="G25" s="166">
        <f t="shared" si="1"/>
        <v>-5635.1100000000151</v>
      </c>
    </row>
    <row r="26" spans="1:9" ht="15.75" customHeight="1" x14ac:dyDescent="0.25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</row>
    <row r="27" spans="1:9" x14ac:dyDescent="0.25">
      <c r="A27" s="137" t="s">
        <v>31</v>
      </c>
      <c r="B27" s="170" t="s">
        <v>132</v>
      </c>
      <c r="C27" s="180">
        <v>1.65</v>
      </c>
      <c r="D27" s="166">
        <v>61308.02</v>
      </c>
      <c r="E27" s="166">
        <f>59577.49+70.64</f>
        <v>59648.13</v>
      </c>
      <c r="F27" s="172">
        <f>F42</f>
        <v>125081.04130000001</v>
      </c>
      <c r="G27" s="166">
        <f t="shared" si="1"/>
        <v>-1659.8899999999994</v>
      </c>
    </row>
    <row r="28" spans="1:9" x14ac:dyDescent="0.25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1"/>
        <v>0</v>
      </c>
    </row>
    <row r="29" spans="1:9" x14ac:dyDescent="0.25">
      <c r="A29" s="137" t="s">
        <v>35</v>
      </c>
      <c r="B29" s="36" t="s">
        <v>36</v>
      </c>
      <c r="C29" s="201"/>
      <c r="D29" s="166">
        <f>SUM(D30:D33)</f>
        <v>1248606.1099999999</v>
      </c>
      <c r="E29" s="166">
        <f>SUM(E30:E33)</f>
        <v>1191832.53</v>
      </c>
      <c r="F29" s="166">
        <f>SUM(F30:F33)</f>
        <v>1248606.1099999999</v>
      </c>
      <c r="G29" s="166">
        <f>SUM(G30:G33)</f>
        <v>-56773.579999999987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36261.839999999997</v>
      </c>
      <c r="E30" s="68">
        <v>35291.06</v>
      </c>
      <c r="F30" s="68">
        <f>D30</f>
        <v>36261.839999999997</v>
      </c>
      <c r="G30" s="68">
        <f>E30-D30</f>
        <v>-970.77999999999884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441756.6</v>
      </c>
      <c r="E31" s="68">
        <v>409063.42</v>
      </c>
      <c r="F31" s="68">
        <f>D31</f>
        <v>441756.6</v>
      </c>
      <c r="G31" s="68">
        <f>E31-D31</f>
        <v>-32693.179999999993</v>
      </c>
    </row>
    <row r="32" spans="1:9" s="111" customFormat="1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  <c r="H32" s="97"/>
      <c r="I32" s="97"/>
    </row>
    <row r="33" spans="1:10" s="97" customFormat="1" ht="15" customHeight="1" thickBot="1" x14ac:dyDescent="0.3">
      <c r="A33" s="9" t="s">
        <v>41</v>
      </c>
      <c r="B33" s="9" t="s">
        <v>43</v>
      </c>
      <c r="C33" s="152" t="s">
        <v>531</v>
      </c>
      <c r="D33" s="68">
        <v>770587.67</v>
      </c>
      <c r="E33" s="68">
        <v>747478.05</v>
      </c>
      <c r="F33" s="68">
        <f>D33</f>
        <v>770587.67</v>
      </c>
      <c r="G33" s="68">
        <f>E33-D33</f>
        <v>-23109.619999999995</v>
      </c>
      <c r="H33" s="1"/>
      <c r="I33" s="1"/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235799.35999999987</v>
      </c>
      <c r="E34" s="39"/>
      <c r="F34" s="39"/>
      <c r="G34" s="39"/>
      <c r="H34" s="22"/>
      <c r="I34" s="22"/>
      <c r="J34" s="22"/>
    </row>
    <row r="35" spans="1:10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218" t="s">
        <v>242</v>
      </c>
      <c r="B36" s="219"/>
      <c r="C36" s="219"/>
      <c r="D36" s="44"/>
      <c r="E36" s="45"/>
      <c r="F36" s="45"/>
      <c r="G36" s="38">
        <f>G15+E28-F28</f>
        <v>0</v>
      </c>
      <c r="H36" s="40"/>
      <c r="I36" s="40"/>
    </row>
    <row r="37" spans="1:10" s="15" customFormat="1" ht="15.75" thickBot="1" x14ac:dyDescent="0.3">
      <c r="A37" s="218" t="s">
        <v>243</v>
      </c>
      <c r="B37" s="219"/>
      <c r="C37" s="219"/>
      <c r="D37" s="44"/>
      <c r="E37" s="45"/>
      <c r="F37" s="45"/>
      <c r="G37" s="38">
        <f>G16+E27-F27</f>
        <v>-8570.8913000000175</v>
      </c>
      <c r="H37" s="40"/>
      <c r="I37" s="40"/>
    </row>
    <row r="38" spans="1:10" s="15" customFormat="1" x14ac:dyDescent="0.25">
      <c r="A38" s="220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29.2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26.25" customHeight="1" x14ac:dyDescent="0.25"/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SUM(F43:L47)</f>
        <v>125081.04130000001</v>
      </c>
      <c r="G42" s="312"/>
      <c r="H42" s="12"/>
      <c r="I42" s="12"/>
    </row>
    <row r="43" spans="1:10" s="12" customFormat="1" ht="13.5" customHeight="1" x14ac:dyDescent="0.25">
      <c r="A43" s="9" t="s">
        <v>16</v>
      </c>
      <c r="B43" s="298" t="s">
        <v>368</v>
      </c>
      <c r="C43" s="299"/>
      <c r="D43" s="177" t="s">
        <v>295</v>
      </c>
      <c r="E43" s="177">
        <v>1.08</v>
      </c>
      <c r="F43" s="329">
        <v>865.29</v>
      </c>
      <c r="G43" s="330"/>
      <c r="H43" s="1"/>
      <c r="I43" s="1"/>
    </row>
    <row r="44" spans="1:10" ht="13.5" customHeight="1" x14ac:dyDescent="0.25">
      <c r="A44" s="9" t="s">
        <v>18</v>
      </c>
      <c r="B44" s="298" t="s">
        <v>279</v>
      </c>
      <c r="C44" s="299"/>
      <c r="D44" s="177" t="s">
        <v>280</v>
      </c>
      <c r="E44" s="177">
        <v>5</v>
      </c>
      <c r="F44" s="315">
        <v>25500</v>
      </c>
      <c r="G44" s="315"/>
    </row>
    <row r="45" spans="1:10" ht="13.5" customHeight="1" x14ac:dyDescent="0.25">
      <c r="A45" s="9" t="s">
        <v>20</v>
      </c>
      <c r="B45" s="298" t="s">
        <v>369</v>
      </c>
      <c r="C45" s="299"/>
      <c r="D45" s="177"/>
      <c r="E45" s="177"/>
      <c r="F45" s="329">
        <v>93891.6</v>
      </c>
      <c r="G45" s="330"/>
    </row>
    <row r="46" spans="1:10" ht="13.5" customHeight="1" x14ac:dyDescent="0.25">
      <c r="A46" s="9" t="s">
        <v>22</v>
      </c>
      <c r="B46" s="298" t="s">
        <v>542</v>
      </c>
      <c r="C46" s="299"/>
      <c r="D46" s="177"/>
      <c r="E46" s="177"/>
      <c r="F46" s="329">
        <v>4227.67</v>
      </c>
      <c r="G46" s="330"/>
    </row>
    <row r="47" spans="1:10" s="3" customFormat="1" x14ac:dyDescent="0.25">
      <c r="A47" s="9" t="s">
        <v>24</v>
      </c>
      <c r="B47" s="216" t="s">
        <v>533</v>
      </c>
      <c r="C47" s="217"/>
      <c r="D47" s="177"/>
      <c r="E47" s="177"/>
      <c r="F47" s="315">
        <f>E27*1%</f>
        <v>596.48130000000003</v>
      </c>
      <c r="G47" s="315"/>
    </row>
    <row r="48" spans="1:10" s="3" customFormat="1" x14ac:dyDescent="0.25">
      <c r="H48" s="1"/>
      <c r="I48" s="1"/>
    </row>
    <row r="49" spans="1:9" s="3" customFormat="1" ht="13.5" customHeight="1" x14ac:dyDescent="0.25">
      <c r="A49" s="3" t="s">
        <v>55</v>
      </c>
      <c r="C49" s="3" t="s">
        <v>49</v>
      </c>
      <c r="F49" s="3" t="s">
        <v>102</v>
      </c>
      <c r="H49" s="1"/>
      <c r="I49" s="1"/>
    </row>
    <row r="50" spans="1:9" s="3" customFormat="1" x14ac:dyDescent="0.25">
      <c r="F50" s="4" t="s">
        <v>265</v>
      </c>
      <c r="H50" s="1"/>
      <c r="I50" s="1"/>
    </row>
    <row r="51" spans="1:9" s="3" customFormat="1" x14ac:dyDescent="0.25">
      <c r="A51" s="3" t="s">
        <v>50</v>
      </c>
      <c r="H51" s="1"/>
      <c r="I51" s="1"/>
    </row>
    <row r="52" spans="1:9" s="3" customFormat="1" x14ac:dyDescent="0.25">
      <c r="C52" s="14" t="s">
        <v>51</v>
      </c>
      <c r="E52" s="14"/>
      <c r="F52" s="14"/>
      <c r="G52" s="14"/>
      <c r="H52" s="1"/>
      <c r="I52" s="1"/>
    </row>
    <row r="53" spans="1:9" s="3" customFormat="1" x14ac:dyDescent="0.25"/>
  </sheetData>
  <mergeCells count="23">
    <mergeCell ref="A1:I1"/>
    <mergeCell ref="A2:I2"/>
    <mergeCell ref="A3:K3"/>
    <mergeCell ref="A5:I5"/>
    <mergeCell ref="F43:G43"/>
    <mergeCell ref="B41:C41"/>
    <mergeCell ref="F41:G41"/>
    <mergeCell ref="B42:C42"/>
    <mergeCell ref="B43:C43"/>
    <mergeCell ref="F47:G47"/>
    <mergeCell ref="B44:C44"/>
    <mergeCell ref="B45:C45"/>
    <mergeCell ref="A13:C13"/>
    <mergeCell ref="A10:I10"/>
    <mergeCell ref="F42:G42"/>
    <mergeCell ref="A12:I12"/>
    <mergeCell ref="A11:I11"/>
    <mergeCell ref="F44:G44"/>
    <mergeCell ref="F45:G45"/>
    <mergeCell ref="A34:C34"/>
    <mergeCell ref="A39:I39"/>
    <mergeCell ref="B46:C46"/>
    <mergeCell ref="F46:G46"/>
  </mergeCells>
  <phoneticPr fontId="18" type="noConversion"/>
  <pageMargins left="0" right="0" top="0" bottom="0" header="0.31496062992125984" footer="0.31496062992125984"/>
  <pageSetup paperSize="9" scale="9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28" workbookViewId="0">
      <selection activeCell="F46" sqref="F46"/>
    </sheetView>
  </sheetViews>
  <sheetFormatPr defaultRowHeight="15" outlineLevelCol="1" x14ac:dyDescent="0.25"/>
  <cols>
    <col min="1" max="1" width="4.7109375" style="1" customWidth="1"/>
    <col min="2" max="2" width="25.42578125" style="1" customWidth="1"/>
    <col min="3" max="3" width="12.7109375" style="1" customWidth="1"/>
    <col min="4" max="4" width="13.42578125" style="1" customWidth="1"/>
    <col min="5" max="5" width="13" style="1" customWidth="1"/>
    <col min="6" max="6" width="11.5703125" style="1" customWidth="1"/>
    <col min="7" max="7" width="12" style="1" customWidth="1"/>
    <col min="8" max="8" width="12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9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9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9" x14ac:dyDescent="0.25">
      <c r="A3" s="300" t="s">
        <v>108</v>
      </c>
      <c r="B3" s="300"/>
      <c r="C3" s="300"/>
      <c r="D3" s="300"/>
      <c r="E3" s="300"/>
      <c r="F3" s="300"/>
      <c r="G3" s="300"/>
      <c r="H3" s="300"/>
      <c r="I3" s="30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9" s="3" customFormat="1" x14ac:dyDescent="0.25">
      <c r="A7" s="3" t="s">
        <v>2</v>
      </c>
      <c r="F7" s="4"/>
    </row>
    <row r="8" spans="1:9" s="3" customFormat="1" x14ac:dyDescent="0.25">
      <c r="A8" s="3" t="s">
        <v>3</v>
      </c>
      <c r="F8" s="4"/>
    </row>
    <row r="9" spans="1:9" s="3" customFormat="1" x14ac:dyDescent="0.25">
      <c r="A9" s="3" t="s">
        <v>4</v>
      </c>
    </row>
    <row r="10" spans="1:9" s="3" customFormat="1" x14ac:dyDescent="0.25">
      <c r="A10" s="3" t="s">
        <v>5</v>
      </c>
      <c r="F10" s="4" t="s">
        <v>6</v>
      </c>
    </row>
    <row r="11" spans="1:9" s="3" customFormat="1" x14ac:dyDescent="0.25">
      <c r="A11" s="3" t="s">
        <v>7</v>
      </c>
      <c r="F11" s="4" t="s">
        <v>6</v>
      </c>
    </row>
    <row r="12" spans="1:9" s="3" customFormat="1" x14ac:dyDescent="0.25"/>
    <row r="13" spans="1:9" s="3" customFormat="1" x14ac:dyDescent="0.25">
      <c r="A13" s="286" t="s">
        <v>8</v>
      </c>
      <c r="B13" s="286"/>
      <c r="C13" s="286"/>
      <c r="D13" s="286"/>
      <c r="E13" s="286"/>
      <c r="F13" s="286"/>
      <c r="G13" s="286"/>
      <c r="H13" s="286"/>
      <c r="I13" s="286"/>
    </row>
    <row r="14" spans="1:9" s="3" customFormat="1" x14ac:dyDescent="0.25">
      <c r="A14" s="286" t="s">
        <v>9</v>
      </c>
      <c r="B14" s="286"/>
      <c r="C14" s="286"/>
      <c r="D14" s="286"/>
      <c r="E14" s="286"/>
      <c r="F14" s="286"/>
      <c r="G14" s="286"/>
      <c r="H14" s="286"/>
      <c r="I14" s="286"/>
    </row>
    <row r="15" spans="1:9" s="3" customFormat="1" x14ac:dyDescent="0.25">
      <c r="A15" s="286" t="s">
        <v>10</v>
      </c>
      <c r="B15" s="286"/>
      <c r="C15" s="286"/>
      <c r="D15" s="286"/>
      <c r="E15" s="286"/>
      <c r="F15" s="286"/>
      <c r="G15" s="286"/>
      <c r="H15" s="286"/>
      <c r="I15" s="286"/>
    </row>
    <row r="16" spans="1:9" s="3" customFormat="1" x14ac:dyDescent="0.25"/>
    <row r="17" spans="1:9" s="18" customFormat="1" ht="52.5" customHeight="1" x14ac:dyDescent="0.25">
      <c r="A17" s="6" t="s">
        <v>11</v>
      </c>
      <c r="B17" s="6" t="s">
        <v>12</v>
      </c>
      <c r="C17" s="6" t="s">
        <v>103</v>
      </c>
      <c r="D17" s="6" t="s">
        <v>128</v>
      </c>
      <c r="E17" s="6" t="s">
        <v>129</v>
      </c>
      <c r="F17" s="17" t="s">
        <v>130</v>
      </c>
      <c r="G17" s="6" t="s">
        <v>131</v>
      </c>
    </row>
    <row r="18" spans="1:9" s="3" customFormat="1" ht="30" x14ac:dyDescent="0.25">
      <c r="A18" s="8" t="s">
        <v>14</v>
      </c>
      <c r="B18" s="9" t="s">
        <v>15</v>
      </c>
      <c r="C18" s="29">
        <v>6.75</v>
      </c>
      <c r="D18" s="10" t="e">
        <f>'Телевизионная 2а'!D18+'Пионерская 16'!D19+'Пионерская 1318'!D19+'Багговута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к.1'!D19+#REF!+'Пионерская 2'!D19+'Телевизионная 2 к.1'!D19+'Чичерина 16'!D19+'Чичерина 22'!D19+#REF!+'Ленина 68,8'!D19+'Ленина 67'!D19+'Огарева 20'!D18+'Пролетарская 40'!D18+'Чижевского 4'!D19</f>
        <v>#REF!</v>
      </c>
      <c r="E18" s="10" t="e">
        <f>'Телевизионная 2а'!E18+'Пионерская 16'!E19+'Пионерская 1318'!E19+'Багговута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к.1'!E19+#REF!+'Пионерская 2'!E19+'Телевизионная 2 к.1'!E19+'Чичерина 16'!E19+'Чичерина 22'!E19+#REF!+'Ленина 68,8'!E19+'Ленина 67'!E19+'Огарева 20'!E18+'Пролетарская 40'!E18+'Чижевского 4'!E19</f>
        <v>#REF!</v>
      </c>
      <c r="F18" s="10" t="e">
        <f>'Телевизионная 2а'!F18+'Пионерская 16'!F19+'Пионерская 1318'!F19+'Багговута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к.1'!F19+#REF!+'Пионерская 2'!F19+'Телевизионная 2 к.1'!F19+'Чичерина 16'!F19+'Чичерина 22'!F19+#REF!+'Ленина 68,8'!F19+'Ленина 67'!F19+'Огарева 20'!F18+'Пролетарская 40'!F18+'Чижевского 4'!F19</f>
        <v>#REF!</v>
      </c>
      <c r="G18" s="10" t="e">
        <f>'Телевизионная 2а'!G18+'Пионерская 16'!G19+'Пионерская 1318'!G19+'Багговута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к.1'!G19+#REF!+'Пионерская 2'!G19+'Телевизионная 2 к.1'!G19+'Чичерина 16'!G19+'Чичерина 22'!G19+#REF!+'Ленина 68,8'!G19+'Ленина 67'!G19+'Огарева 20'!G18+'Пролетарская 40'!G18+'Чижевского 4'!G19</f>
        <v>#REF!</v>
      </c>
      <c r="H18" s="32">
        <v>6.75</v>
      </c>
      <c r="I18" s="15"/>
    </row>
    <row r="19" spans="1:9" s="3" customFormat="1" ht="30" x14ac:dyDescent="0.25">
      <c r="A19" s="8" t="s">
        <v>16</v>
      </c>
      <c r="B19" s="9" t="s">
        <v>17</v>
      </c>
      <c r="C19" s="29">
        <v>2.41</v>
      </c>
      <c r="D19" s="10" t="e">
        <f>'Телевизионная 2а'!D19+'Пионерская 16'!D20+'Пионерская 1318'!D20+'Багговута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к.1'!D20+#REF!+'Пионерская 2'!D20+'Телевизионная 2 к.1'!D20+'Чичерина 16'!D20+'Чичерина 22'!D20+#REF!+'Ленина 68,8'!D20+'Ленина 67'!D20+'Огарева 20'!D19+'Пролетарская 40'!D19+'Чижевского 4'!D20</f>
        <v>#REF!</v>
      </c>
      <c r="E19" s="10" t="e">
        <f>'Телевизионная 2а'!E19+'Пионерская 16'!E20+'Пионерская 1318'!E20+'Багговута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к.1'!E20+#REF!+'Пионерская 2'!E20+'Телевизионная 2 к.1'!E20+'Чичерина 16'!E20+'Чичерина 22'!E20+#REF!+'Ленина 68,8'!E20+'Ленина 67'!E20+'Огарева 20'!E19+'Пролетарская 40'!E19+'Чижевского 4'!E20</f>
        <v>#REF!</v>
      </c>
      <c r="F19" s="10" t="e">
        <f>'Телевизионная 2а'!F19+'Пионерская 16'!F20+'Пионерская 1318'!F20+'Багговута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к.1'!F20+#REF!+'Пионерская 2'!F20+'Телевизионная 2 к.1'!F20+'Чичерина 16'!F20+'Чичерина 22'!F20+#REF!+'Ленина 68,8'!F20+'Ленина 67'!F20+'Огарева 20'!F19+'Пролетарская 40'!F19+'Чижевского 4'!F20</f>
        <v>#REF!</v>
      </c>
      <c r="G19" s="10" t="e">
        <f>'Телевизионная 2а'!G19+'Пионерская 16'!G20+'Пионерская 1318'!G20+'Багговута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к.1'!G20+#REF!+'Пионерская 2'!G20+'Телевизионная 2 к.1'!G20+'Чичерина 16'!G20+'Чичерина 22'!G20+#REF!+'Ленина 68,8'!G20+'Ленина 67'!G20+'Огарева 20'!G19+'Пролетарская 40'!G19+'Чижевского 4'!G20</f>
        <v>#REF!</v>
      </c>
      <c r="H19" s="32">
        <v>2.41</v>
      </c>
      <c r="I19" s="15">
        <f>H19/H18</f>
        <v>0.35703703703703704</v>
      </c>
    </row>
    <row r="20" spans="1:9" s="3" customFormat="1" ht="45" x14ac:dyDescent="0.25">
      <c r="A20" s="8" t="s">
        <v>18</v>
      </c>
      <c r="B20" s="9" t="s">
        <v>19</v>
      </c>
      <c r="C20" s="29">
        <v>1.2</v>
      </c>
      <c r="D20" s="10" t="e">
        <f>'Телевизионная 2а'!D20+'Пионерская 16'!D21+'Пионерская 1318'!D21+'Багговута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к.1'!D21+#REF!+'Пионерская 2'!D21+'Телевизионная 2 к.1'!D21+'Чичерина 16'!D21+'Чичерина 22'!D21+#REF!+'Ленина 68,8'!D21+'Ленина 67'!D21+'Огарева 20'!D20+'Пролетарская 40'!D20+'Чижевского 4'!D21</f>
        <v>#REF!</v>
      </c>
      <c r="E20" s="10" t="e">
        <f>'Телевизионная 2а'!E20+'Пионерская 16'!E21+'Пионерская 1318'!E21+'Багговута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к.1'!E21+#REF!+'Пионерская 2'!E21+'Телевизионная 2 к.1'!E21+'Чичерина 16'!E21+'Чичерина 22'!E21+#REF!+'Ленина 68,8'!E21+'Ленина 67'!E21+'Огарева 20'!E20+'Пролетарская 40'!E20+'Чижевского 4'!E21</f>
        <v>#REF!</v>
      </c>
      <c r="F20" s="10" t="e">
        <f>'Телевизионная 2а'!F20+'Пионерская 16'!F21+'Пионерская 1318'!F21+'Багговута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к.1'!F21+#REF!+'Пионерская 2'!F21+'Телевизионная 2 к.1'!F21+'Чичерина 16'!F21+'Чичерина 22'!F21+#REF!+'Ленина 68,8'!F21+'Ленина 67'!F21+'Огарева 20'!F20+'Пролетарская 40'!F20+'Чижевского 4'!F21</f>
        <v>#REF!</v>
      </c>
      <c r="G20" s="10" t="e">
        <f>'Телевизионная 2а'!G20+'Пионерская 16'!G21+'Пионерская 1318'!G21+'Багговута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к.1'!G21+#REF!+'Пионерская 2'!G21+'Телевизионная 2 к.1'!G21+'Чичерина 16'!G21+'Чичерина 22'!G21+#REF!+'Ленина 68,8'!G21+'Ленина 67'!G21+'Огарева 20'!G20+'Пролетарская 40'!G20+'Чижевского 4'!G21</f>
        <v>#REF!</v>
      </c>
      <c r="H20" s="32">
        <v>1.2</v>
      </c>
      <c r="I20" s="15">
        <f>H20/H18</f>
        <v>0.17777777777777778</v>
      </c>
    </row>
    <row r="21" spans="1:9" s="3" customFormat="1" ht="30" x14ac:dyDescent="0.25">
      <c r="A21" s="8" t="s">
        <v>20</v>
      </c>
      <c r="B21" s="9" t="s">
        <v>21</v>
      </c>
      <c r="C21" s="29">
        <v>1.51</v>
      </c>
      <c r="D21" s="10" t="e">
        <f>'Телевизионная 2а'!D21+'Пионерская 16'!D22+'Пионерская 1318'!D22+'Багговута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к.1'!D22+#REF!+'Пионерская 2'!D22+'Телевизионная 2 к.1'!D22+'Чичерина 16'!D22+'Чичерина 22'!D22+#REF!+'Ленина 68,8'!D22+'Ленина 67'!D22+'Огарева 20'!D21+'Пролетарская 40'!D21+'Чижевского 4'!D22</f>
        <v>#REF!</v>
      </c>
      <c r="E21" s="10" t="e">
        <f>'Телевизионная 2а'!E21+'Пионерская 16'!E22+'Пионерская 1318'!E22+'Багговута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к.1'!E22+#REF!+'Пионерская 2'!E22+'Телевизионная 2 к.1'!E22+'Чичерина 16'!E22+'Чичерина 22'!E22+#REF!+'Ленина 68,8'!E22+'Ленина 67'!E22+'Огарева 20'!E21+'Пролетарская 40'!E21+'Чижевского 4'!E22</f>
        <v>#REF!</v>
      </c>
      <c r="F21" s="10" t="e">
        <f>'Телевизионная 2а'!F21+'Пионерская 16'!F22+'Пионерская 1318'!F22+'Багговута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к.1'!F22+#REF!+'Пионерская 2'!F22+'Телевизионная 2 к.1'!F22+'Чичерина 16'!F22+'Чичерина 22'!F22+#REF!+'Ленина 68,8'!F22+'Ленина 67'!F22+'Огарева 20'!F21+'Пролетарская 40'!F21+'Чижевского 4'!F22</f>
        <v>#REF!</v>
      </c>
      <c r="G21" s="10" t="e">
        <f>'Телевизионная 2а'!G21+'Пионерская 16'!G22+'Пионерская 1318'!G22+'Багговута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к.1'!G22+#REF!+'Пионерская 2'!G22+'Телевизионная 2 к.1'!G22+'Чичерина 16'!G22+'Чичерина 22'!G22+#REF!+'Ленина 68,8'!G22+'Ленина 67'!G22+'Огарева 20'!G21+'Пролетарская 40'!G21+'Чижевского 4'!G22</f>
        <v>#REF!</v>
      </c>
      <c r="H21" s="32">
        <v>1.51</v>
      </c>
      <c r="I21" s="15">
        <f>H21/H18</f>
        <v>0.22370370370370371</v>
      </c>
    </row>
    <row r="22" spans="1:9" s="3" customFormat="1" ht="30" x14ac:dyDescent="0.25">
      <c r="A22" s="8" t="s">
        <v>22</v>
      </c>
      <c r="B22" s="9" t="s">
        <v>23</v>
      </c>
      <c r="C22" s="29">
        <v>1.63</v>
      </c>
      <c r="D22" s="10" t="e">
        <f>'Телевизионная 2а'!D22+'Пионерская 16'!D23+'Пионерская 1318'!D23+'Багговута 12'!D23+'Пионерская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12'!D23+'Калинина 18'!D23+'Калинина 23'!D23+'Пионерская 9'!D23+'Высокая 4'!D23+'Пухова 15'!D23+#REF!+#REF!+'Пухова 17'!D23+'Калинина 4'!D23+'Пионерская 18'!D23+'Чичерина 12 к.1'!D23+'Телевизионная 6 к.1'!D23+#REF!+'Пионерская 2'!D23+'Телевизионная 2 к.1'!D23+'Чичерина 16'!D23+'Чичерина 22'!D23+#REF!+'Ленина 68,8'!D23+'Ленина 67'!D23+'Огарева 20'!D22+'Пролетарская 40'!D22+'Чижевского 4'!D23</f>
        <v>#REF!</v>
      </c>
      <c r="E22" s="10" t="e">
        <f>'Телевизионная 2а'!E22+'Пионерская 16'!E23+'Пионерская 1318'!E23+'Багговута 12'!E23+'Пионерская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12'!E23+'Калинина 18'!E23+'Калинина 23'!E23+'Пионерская 9'!E23+'Высокая 4'!E23+'Пухова 15'!E23+#REF!+#REF!+'Пухова 17'!E23+'Калинина 4'!E23+'Пионерская 18'!E23+'Чичерина 12 к.1'!E23+'Телевизионная 6 к.1'!E23+#REF!+'Пионерская 2'!E23+'Телевизионная 2 к.1'!E23+'Чичерина 16'!E23+'Чичерина 22'!E23+#REF!+'Ленина 68,8'!E23+'Ленина 67'!E23+'Огарева 20'!E22+'Пролетарская 40'!E22+'Чижевского 4'!E23</f>
        <v>#REF!</v>
      </c>
      <c r="F22" s="10" t="e">
        <f>'Телевизионная 2а'!F22+'Пионерская 16'!F23+'Пионерская 1318'!F23+'Багговута 12'!F23+'Пионерская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12'!F23+'Калинина 18'!F23+'Калинина 23'!F23+'Пионерская 9'!F23+'Высокая 4'!F23+'Пухова 15'!F23+#REF!+#REF!+'Пухова 17'!F23+'Калинина 4'!F23+'Пионерская 18'!F23+'Чичерина 12 к.1'!F23+'Телевизионная 6 к.1'!F23+#REF!+'Пионерская 2'!F23+'Телевизионная 2 к.1'!F23+'Чичерина 16'!F23+'Чичерина 22'!F23+#REF!+'Ленина 68,8'!F23+'Ленина 67'!F23+'Огарева 20'!F22+'Пролетарская 40'!F22+'Чижевского 4'!F23</f>
        <v>#REF!</v>
      </c>
      <c r="G22" s="10" t="e">
        <f>'Телевизионная 2а'!G22+'Пионерская 16'!G23+'Пионерская 1318'!G23+'Багговута 12'!G23+'Пионерская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12'!G23+'Калинина 18'!G23+'Калинина 23'!G23+'Пионерская 9'!G23+'Высокая 4'!G23+'Пухова 15'!G23+#REF!+#REF!+'Пухова 17'!G23+'Калинина 4'!G23+'Пионерская 18'!G23+'Чичерина 12 к.1'!G23+'Телевизионная 6 к.1'!G23+#REF!+'Пионерская 2'!G23+'Телевизионная 2 к.1'!G23+'Чичерина 16'!G23+'Чичерина 22'!G23+#REF!+'Ленина 68,8'!G23+'Ленина 67'!G23+'Огарева 20'!G22+'Пролетарская 40'!G22+'Чижевского 4'!G23</f>
        <v>#REF!</v>
      </c>
      <c r="H22" s="32">
        <v>1.63</v>
      </c>
      <c r="I22" s="15">
        <f>H22/H18</f>
        <v>0.24148148148148146</v>
      </c>
    </row>
    <row r="23" spans="1:9" x14ac:dyDescent="0.25">
      <c r="A23" s="9" t="s">
        <v>25</v>
      </c>
      <c r="B23" s="9" t="s">
        <v>26</v>
      </c>
      <c r="C23" s="29">
        <v>3.15</v>
      </c>
      <c r="D23" s="10" t="e">
        <f>'Телевизионная 2а'!D23+'Пионерская 16'!D24+'Пионерская 1318'!D24+'Багговута 12'!D24+'Пионерская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12'!D24+'Калинина 18'!D24+'Калинина 23'!D24+'Пионерская 9'!D24+'Высокая 4'!D24+'Пухова 15'!D24+#REF!+#REF!+'Пухова 17'!D24+'Калинина 4'!D24+'Пионерская 18'!D24+'Чичерина 12 к.1'!D24+'Телевизионная 6 к.1'!D24+#REF!+'Пионерская 2'!D24+'Телевизионная 2 к.1'!D24+'Чичерина 16'!D24+'Чичерина 22'!D24+#REF!+'Ленина 68,8'!D24+'Ленина 67'!D24+'Огарева 20'!D23+'Пролетарская 40'!D23+'Чижевского 4'!D24</f>
        <v>#REF!</v>
      </c>
      <c r="E23" s="10" t="e">
        <f>'Телевизионная 2а'!E23+'Пионерская 16'!E24+'Пионерская 1318'!E24+'Багговута 12'!E24+'Пионерская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12'!E24+'Калинина 18'!E24+'Калинина 23'!E24+'Пионерская 9'!E24+'Высокая 4'!E24+'Пухова 15'!E24+#REF!+#REF!+'Пухова 17'!E24+'Калинина 4'!E24+'Пионерская 18'!E24+'Чичерина 12 к.1'!E24+'Телевизионная 6 к.1'!E24+#REF!+'Пионерская 2'!E24+'Телевизионная 2 к.1'!E24+'Чичерина 16'!E24+'Чичерина 22'!E24+#REF!+'Ленина 68,8'!E24+'Ленина 67'!E24+'Огарева 20'!E23+'Пролетарская 40'!E23+'Чижевского 4'!E24</f>
        <v>#REF!</v>
      </c>
      <c r="F23" s="10" t="e">
        <f>'Телевизионная 2а'!F23+'Пионерская 16'!F24+'Пионерская 1318'!F24+'Багговута 12'!F24+'Пионерская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12'!F24+'Калинина 18'!F24+'Калинина 23'!F24+'Пионерская 9'!F24+'Высокая 4'!F24+'Пухова 15'!F24+#REF!+#REF!+'Пухова 17'!F24+'Калинина 4'!F24+'Пионерская 18'!F24+'Чичерина 12 к.1'!F24+'Телевизионная 6 к.1'!F24+#REF!+'Пионерская 2'!F24+'Телевизионная 2 к.1'!F24+'Чичерина 16'!F24+'Чичерина 22'!F24+#REF!+'Ленина 68,8'!F24+'Ленина 67'!F24+'Огарева 20'!F23+'Пролетарская 40'!F23+'Чижевского 4'!F24</f>
        <v>#REF!</v>
      </c>
      <c r="G23" s="10" t="e">
        <f>'Телевизионная 2а'!G23+'Пионерская 16'!G24+'Пионерская 1318'!G24+'Багговута 12'!G24+'Пионерская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12'!G24+'Калинина 18'!G24+'Калинина 23'!G24+'Пионерская 9'!G24+'Высокая 4'!G24+'Пухова 15'!G24+#REF!+#REF!+'Пухова 17'!G24+'Калинина 4'!G24+'Пионерская 18'!G24+'Чичерина 12 к.1'!G24+'Телевизионная 6 к.1'!G24+#REF!+'Пионерская 2'!G24+'Телевизионная 2 к.1'!G24+'Чичерина 16'!G24+'Чичерина 22'!G24+#REF!+'Ленина 68,8'!G24+'Ленина 67'!G24+'Огарева 20'!G23+'Пролетарская 40'!G23+'Чижевского 4'!G24</f>
        <v>#REF!</v>
      </c>
    </row>
    <row r="24" spans="1:9" x14ac:dyDescent="0.25">
      <c r="A24" s="9" t="s">
        <v>27</v>
      </c>
      <c r="B24" s="9" t="s">
        <v>28</v>
      </c>
      <c r="C24" s="16">
        <v>2.6</v>
      </c>
      <c r="D24" s="10" t="e">
        <f>'Телевизионная 2а'!D24+'Пионерская 16'!D25+'Пионерская 1318'!D25+'Багговута 12'!D25+'Пионерская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24'!D25+'пер. Чичерина 28'!D25+'Калинина 12'!D25+'Калинина 18'!D25+'Калинина 23'!D25+'Пионерская 9'!D25+'Высокая 4'!D25+'Пухова 15'!D25+#REF!+#REF!+'Пухова 17'!D25+'Калинина 4'!D25+'Пионерская 18'!D25+'Чичерина 12 к.1'!D25+'Телевизионная 6 к.1'!D25+#REF!+'Пионерская 2'!D25+'Телевизионная 2 к.1'!D25+'Чичерина 16'!D25+'Чичерина 22'!D25+#REF!+'Ленина 68,8'!D25+'Ленина 67'!D25+'Огарева 20'!D24+'Пролетарская 40'!D24+'Чижевского 4'!D25</f>
        <v>#REF!</v>
      </c>
      <c r="E24" s="10" t="e">
        <f>'Телевизионная 2а'!E24+'Пионерская 16'!E25+'Пионерская 1318'!E25+'Багговута 12'!E25+'Пионерская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24'!E25+'пер. Чичерина 28'!E25+'Калинина 12'!E25+'Калинина 18'!E25+'Калинина 23'!E25+'Пионерская 9'!E25+'Высокая 4'!E25+'Пухова 15'!E25+#REF!+#REF!+'Пухова 17'!E25+'Калинина 4'!E25+'Пионерская 18'!E25+'Чичерина 12 к.1'!E25+'Телевизионная 6 к.1'!E25+#REF!+'Пионерская 2'!E25+'Телевизионная 2 к.1'!E25+'Чичерина 16'!E25+'Чичерина 22'!E25+#REF!+'Ленина 68,8'!E25+'Ленина 67'!E25+'Огарева 20'!E24+'Пролетарская 40'!E24+'Чижевского 4'!E25</f>
        <v>#REF!</v>
      </c>
      <c r="F24" s="10" t="e">
        <f>'Телевизионная 2а'!F24+'Пионерская 16'!F25+'Пионерская 1318'!F25+'Багговута 12'!F25+'Пионерская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24'!F25+'пер. Чичерина 28'!F25+'Калинина 12'!F25+'Калинина 18'!F25+'Калинина 23'!F25+'Пионерская 9'!F25+'Высокая 4'!F25+'Пухова 15'!F25+#REF!+#REF!+'Пухова 17'!F25+'Калинина 4'!F25+'Пионерская 18'!F25+'Чичерина 12 к.1'!F25+'Телевизионная 6 к.1'!F25+#REF!+'Пионерская 2'!F25+'Телевизионная 2 к.1'!F25+'Чичерина 16'!F25+'Чичерина 22'!F25+#REF!+'Ленина 68,8'!F25+'Ленина 67'!F25+'Огарева 20'!F24+'Пролетарская 40'!F24+'Чижевского 4'!F25</f>
        <v>#REF!</v>
      </c>
      <c r="G24" s="10" t="e">
        <f>'Телевизионная 2а'!G24+'Пионерская 16'!G25+'Пионерская 1318'!G25+'Багговута 12'!G25+'Пионерская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24'!G25+'пер. Чичерина 28'!G25+'Калинина 12'!G25+'Калинина 18'!G25+'Калинина 23'!G25+'Пионерская 9'!G25+'Высокая 4'!G25+'Пухова 15'!G25+#REF!+#REF!+'Пухова 17'!G25+'Калинина 4'!G25+'Пионерская 18'!G25+'Чичерина 12 к.1'!G25+'Телевизионная 6 к.1'!G25+#REF!+'Пионерская 2'!G25+'Телевизионная 2 к.1'!G25+'Чичерина 16'!G25+'Чичерина 22'!G25+#REF!+'Ленина 68,8'!G25+'Ленина 67'!G25+'Огарева 20'!G24+'Пролетарская 40'!G24+'Чижевского 4'!G25</f>
        <v>#REF!</v>
      </c>
    </row>
    <row r="25" spans="1:9" ht="30" x14ac:dyDescent="0.25">
      <c r="A25" s="9" t="s">
        <v>29</v>
      </c>
      <c r="B25" s="9" t="s">
        <v>30</v>
      </c>
      <c r="C25" s="29">
        <v>0.81</v>
      </c>
      <c r="D25" s="10" t="e">
        <f>'Телевизионная 2а'!D25+'Пионерская 16'!D26+'Пионерская 1318'!D26+'Багговута 12'!D26+'Пионерская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24'!#REF!+'пер. Чичерина 28'!D26+'Калинина 12'!D26+'Калинина 18'!D26+'Калинина 23'!D26+'Пионерская 9'!D26+'Высокая 4'!D26+'Пухова 15'!D26+#REF!+#REF!+'Пухова 17'!D26+'Калинина 4'!D26+'Пионерская 18'!D26+'Чичерина 12 к.1'!D26+'Телевизионная 6 к.1'!D26+#REF!+'Пионерская 2'!D26+'Телевизионная 2 к.1'!D26+'Чичерина 16'!D26+'Чичерина 22'!D26+#REF!+'Ленина 68,8'!D26+'Ленина 67'!D26+'Огарева 20'!D25+'Пролетарская 40'!D25+'Чижевского 4'!D26</f>
        <v>#REF!</v>
      </c>
      <c r="E25" s="10" t="e">
        <f>'Телевизионная 2а'!E25+'Пионерская 16'!E26+'Пионерская 1318'!E26+'Багговута 12'!E26+'Пионерская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24'!#REF!+'пер. Чичерина 28'!E26+'Калинина 12'!E26+'Калинина 18'!E26+'Калинина 23'!E26+'Пионерская 9'!E26+'Высокая 4'!E26+'Пухова 15'!E26+#REF!+#REF!+'Пухова 17'!E26+'Калинина 4'!E26+'Пионерская 18'!E26+'Чичерина 12 к.1'!E26+'Телевизионная 6 к.1'!E26+#REF!+'Пионерская 2'!E26+'Телевизионная 2 к.1'!E26+'Чичерина 16'!E26+'Чичерина 22'!E26+#REF!+'Ленина 68,8'!E26+'Ленина 67'!E26+'Огарева 20'!E25+'Пролетарская 40'!E25+'Чижевского 4'!E26</f>
        <v>#REF!</v>
      </c>
      <c r="F25" s="10" t="e">
        <f>'Телевизионная 2а'!F25+'Пионерская 16'!F26+'Пионерская 1318'!F26+'Багговута 12'!F26+'Пионерская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24'!#REF!+'пер. Чичерина 28'!F26+'Калинина 12'!F26+'Калинина 18'!F26+'Калинина 23'!F26+'Пионерская 9'!F26+'Высокая 4'!F26+'Пухова 15'!F26+#REF!+#REF!+'Пухова 17'!F26+'Калинина 4'!F26+'Пионерская 18'!F26+'Чичерина 12 к.1'!F26+'Телевизионная 6 к.1'!F26+#REF!+'Пионерская 2'!F26+'Телевизионная 2 к.1'!F26+'Чичерина 16'!F26+'Чичерина 22'!F26+#REF!+'Ленина 68,8'!F26+'Ленина 67'!F26+'Огарева 20'!F25+'Пролетарская 40'!F25+'Чижевского 4'!F26</f>
        <v>#REF!</v>
      </c>
      <c r="G25" s="10" t="e">
        <f>'Телевизионная 2а'!G25+'Пионерская 16'!G26+'Пионерская 1318'!G26+'Багговута 12'!G26+'Пионерская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24'!#REF!+'пер. Чичерина 28'!G26+'Калинина 12'!G26+'Калинина 18'!G26+'Калинина 23'!G26+'Пионерская 9'!G26+'Высокая 4'!G26+'Пухова 15'!G26+#REF!+#REF!+'Пухова 17'!G26+'Калинина 4'!G26+'Пионерская 18'!G26+'Чичерина 12 к.1'!G26+'Телевизионная 6 к.1'!G26+#REF!+'Пионерская 2'!G26+'Телевизионная 2 к.1'!G26+'Чичерина 16'!G26+'Чичерина 22'!G26+#REF!+'Ленина 68,8'!G26+'Ленина 67'!G26+'Огарева 20'!G25+'Пролетарская 40'!G25+'Чижевского 4'!G26</f>
        <v>#REF!</v>
      </c>
    </row>
    <row r="26" spans="1:9" x14ac:dyDescent="0.25">
      <c r="A26" s="9" t="s">
        <v>31</v>
      </c>
      <c r="B26" s="28" t="s">
        <v>132</v>
      </c>
      <c r="C26" s="29">
        <v>1.61</v>
      </c>
      <c r="D26" s="10" t="e">
        <f>'Телевизионная 2а'!D26+'Пионерская 16'!D27+'Пионерская 1318'!D27+'Багговута 12'!D27+'Пионерская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12'!D27+'Калинина 18'!D27+'Калинина 23'!D27+'Пионерская 9'!D27+'Высокая 4'!D27+'Пухова 15'!D27+#REF!+#REF!+'Пухова 17'!D27+'Калинина 4'!D27+'Пионерская 18'!D27+'Чичерина 12 к.1'!D27+'Телевизионная 6 к.1'!D27+#REF!+'Пионерская 2'!D27+'Телевизионная 2 к.1'!D27+'Чичерина 16'!D27+'Чичерина 22'!D27+#REF!+'Ленина 68,8'!D27+'Ленина 67'!D27+'Огарева 20'!D26+'Пролетарская 40'!D26+'Чижевского 4'!D27</f>
        <v>#REF!</v>
      </c>
      <c r="E26" s="10" t="e">
        <f>'Телевизионная 2а'!E26+'Пионерская 16'!E27+'Пионерская 1318'!E27+'Багговута 12'!E27+'Пионерская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12'!E27+'Калинина 18'!E27+'Калинина 23'!E27+'Пионерская 9'!E27+'Высокая 4'!E27+'Пухова 15'!E27+#REF!+#REF!+'Пухова 17'!E27+'Калинина 4'!E27+'Пионерская 18'!E27+'Чичерина 12 к.1'!E27+'Телевизионная 6 к.1'!E27+#REF!+'Пионерская 2'!E27+'Телевизионная 2 к.1'!E27+'Чичерина 16'!E27+'Чичерина 22'!E27+#REF!+'Ленина 68,8'!E27+'Ленина 67'!E27+'Огарева 20'!E26+'Пролетарская 40'!E26+'Чижевского 4'!E27</f>
        <v>#REF!</v>
      </c>
      <c r="F26" s="10" t="e">
        <f>'Телевизионная 2а'!F26+'Пионерская 16'!F27+'Пионерская 1318'!F27+'Багговута 12'!F27+'Пионерская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12'!F27+'Калинина 18'!F27+'Калинина 23'!F27+'Пионерская 9'!F27+'Высокая 4'!F27+'Пухова 15'!F27+#REF!+#REF!+'Пухова 17'!F27+'Калинина 4'!F27+'Пионерская 18'!F27+'Чичерина 12 к.1'!F27+'Телевизионная 6 к.1'!F27+#REF!+'Пионерская 2'!F27+'Телевизионная 2 к.1'!F27+'Чичерина 16'!F27+'Чичерина 22'!F27+#REF!+'Ленина 68,8'!F27+'Ленина 67'!F27+'Огарева 20'!F26+'Пролетарская 40'!F26+'Чижевского 4'!F27</f>
        <v>#REF!</v>
      </c>
      <c r="G26" s="10" t="e">
        <f>'Телевизионная 2а'!G26+'Пионерская 16'!G27+'Пионерская 1318'!G27+'Багговута 12'!G27+'Пионерская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12'!G27+'Калинина 18'!G27+'Калинина 23'!G27+'Пионерская 9'!G27+'Высокая 4'!G27+'Пухова 15'!G27+#REF!+#REF!+'Пухова 17'!G27+'Калинина 4'!G27+'Пионерская 18'!G27+'Чичерина 12 к.1'!G27+'Телевизионная 6 к.1'!G27+#REF!+'Пионерская 2'!G27+'Телевизионная 2 к.1'!G27+'Чичерина 16'!G27+'Чичерина 22'!G27+#REF!+'Ленина 68,8'!G27+'Ленина 67'!G27+'Огарева 20'!G26+'Пролетарская 40'!G26+'Чижевского 4'!G27</f>
        <v>#REF!</v>
      </c>
    </row>
    <row r="27" spans="1:9" ht="30" x14ac:dyDescent="0.25">
      <c r="A27" s="9" t="s">
        <v>33</v>
      </c>
      <c r="B27" s="9" t="s">
        <v>34</v>
      </c>
      <c r="C27" s="29">
        <v>0</v>
      </c>
      <c r="D27" s="10" t="e">
        <f>'Телевизионная 2а'!D27+'Пионерская 16'!D28+'Пионерская 1318'!D28+'Багговута 12'!D28+'Пионерская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12'!D28+'Калинина 18'!D28+'Калинина 23'!D28+'Пионерская 9'!D28+'Высокая 4'!D28+'Пухова 15'!D28+#REF!+#REF!+'Пухова 17'!D28+'Калинина 4'!D28+'Пионерская 18'!D28+'Чичерина 12 к.1'!D28+'Телевизионная 6 к.1'!D28+#REF!+'Пионерская 2'!D28+'Телевизионная 2 к.1'!D28+'Чичерина 16'!D28+'Чичерина 22'!D28+#REF!+'Ленина 68,8'!D28+'Ленина 67'!D28+'Огарева 20'!D27+'Пролетарская 40'!D27+'Чижевского 4'!D28</f>
        <v>#REF!</v>
      </c>
      <c r="E27" s="10" t="e">
        <f>'Телевизионная 2а'!E27+'Пионерская 16'!E28+'Пионерская 1318'!E28+'Багговута 12'!E28+'Пионерская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12'!E28+'Калинина 18'!E28+'Калинина 23'!E28+'Пионерская 9'!E28+'Высокая 4'!E28+'Пухова 15'!E28+#REF!+#REF!+'Пухова 17'!E28+'Калинина 4'!E28+'Пионерская 18'!E28+'Чичерина 12 к.1'!E28+'Телевизионная 6 к.1'!E28+#REF!+'Пионерская 2'!E28+'Телевизионная 2 к.1'!E28+'Чичерина 16'!E28+'Чичерина 22'!E28+#REF!+'Ленина 68,8'!E28+'Ленина 67'!E28+'Огарева 20'!E27+'Пролетарская 40'!E27+'Чижевского 4'!E28</f>
        <v>#REF!</v>
      </c>
      <c r="F27" s="10" t="e">
        <f>'Телевизионная 2а'!F27+'Пионерская 16'!F28+'Пионерская 1318'!F28+'Багговута 12'!F28+'Пионерская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12'!F28+'Калинина 18'!F28+'Калинина 23'!F28+'Пионерская 9'!F28+'Высокая 4'!F28+'Пухова 15'!F28+#REF!+#REF!+'Пухова 17'!F28+'Калинина 4'!F28+'Пионерская 18'!F28+'Чичерина 12 к.1'!F28+'Телевизионная 6 к.1'!F28+#REF!+'Пионерская 2'!F28+'Телевизионная 2 к.1'!F28+'Чичерина 16'!F28+'Чичерина 22'!F28+#REF!+'Ленина 68,8'!F28+'Ленина 67'!F28+'Огарева 20'!F27+'Пролетарская 40'!F27+'Чижевского 4'!F28</f>
        <v>#REF!</v>
      </c>
      <c r="G27" s="10" t="e">
        <f>'Телевизионная 2а'!G27+'Пионерская 16'!G28+'Пионерская 1318'!G28+'Багговута 12'!G28+'Пионерская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12'!G28+'Калинина 18'!G28+'Калинина 23'!G28+'Пионерская 9'!G28+'Высокая 4'!G28+'Пухова 15'!G28+#REF!+#REF!+'Пухова 17'!G28+'Калинина 4'!G28+'Пионерская 18'!G28+'Чичерина 12 к.1'!G28+'Телевизионная 6 к.1'!G28+#REF!+'Пионерская 2'!G28+'Телевизионная 2 к.1'!G28+'Чичерина 16'!G28+'Чичерина 22'!G28+#REF!+'Ленина 68,8'!G28+'Ленина 67'!G28+'Огарева 20'!G27+'Пролетарская 40'!G27+'Чижевского 4'!G28</f>
        <v>#REF!</v>
      </c>
    </row>
    <row r="28" spans="1:9" ht="30" x14ac:dyDescent="0.25">
      <c r="A28" s="9" t="s">
        <v>35</v>
      </c>
      <c r="B28" s="9" t="s">
        <v>36</v>
      </c>
      <c r="C28" s="29">
        <f>SUM(C29:C32)</f>
        <v>1680.9299999999998</v>
      </c>
      <c r="D28" s="10" t="e">
        <f>'Телевизионная 2а'!D28+'Пионерская 16'!D29+'Пионерская 1318'!D29+'Багговута 12'!D29+'Пионерская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12'!D29+'Калинина 18'!D29+'Калинина 23'!D29+'Пионерская 9'!D29+'Высокая 4'!D29+'Пухова 15'!D29+#REF!+#REF!+'Пухова 17'!D29+'Калинина 4'!D29+'Пионерская 18'!D29+'Чичерина 12 к.1'!D29+'Телевизионная 6 к.1'!D29+#REF!+'Пионерская 2'!D29+'Телевизионная 2 к.1'!D29+'Чичерина 16'!D29+'Чичерина 22'!D29+#REF!+'Ленина 68,8'!D29+'Ленина 67'!D29+'Огарева 20'!D28+'Пролетарская 40'!D28+'Чижевского 4'!D29</f>
        <v>#REF!</v>
      </c>
      <c r="E28" s="10" t="e">
        <f>'Телевизионная 2а'!E28+'Пионерская 16'!E29+'Пионерская 1318'!E29+'Багговута 12'!E29+'Пионерская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12'!E29+'Калинина 18'!E29+'Калинина 23'!E29+'Пионерская 9'!E29+'Высокая 4'!E29+'Пухова 15'!E29+#REF!+#REF!+'Пухова 17'!E29+'Калинина 4'!E29+'Пионерская 18'!E29+'Чичерина 12 к.1'!E29+'Телевизионная 6 к.1'!E29+#REF!+'Пионерская 2'!E29+'Телевизионная 2 к.1'!E29+'Чичерина 16'!E29+'Чичерина 22'!E29+#REF!+'Ленина 68,8'!E29+'Ленина 67'!E29+'Огарева 20'!E28+'Пролетарская 40'!E28+'Чижевского 4'!E29</f>
        <v>#REF!</v>
      </c>
      <c r="F28" s="10" t="e">
        <f>'Телевизионная 2а'!F28+'Пионерская 16'!F29+'Пионерская 1318'!F29+'Багговута 12'!F29+'Пионерская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12'!F29+'Калинина 18'!F29+'Калинина 23'!F29+'Пионерская 9'!F29+'Высокая 4'!F29+'Пухова 15'!F29+#REF!+#REF!+'Пухова 17'!F29+'Калинина 4'!F29+'Пионерская 18'!F29+'Чичерина 12 к.1'!F29+'Телевизионная 6 к.1'!F29+#REF!+'Пионерская 2'!F29+'Телевизионная 2 к.1'!F29+'Чичерина 16'!F29+'Чичерина 22'!F29+#REF!+'Ленина 68,8'!F29+'Ленина 67'!F29+'Огарева 20'!F28+'Пролетарская 40'!F28+'Чижевского 4'!F29</f>
        <v>#REF!</v>
      </c>
      <c r="G28" s="10" t="e">
        <f>'Телевизионная 2а'!G28+'Пионерская 16'!G29+'Пионерская 1318'!G29+'Багговута 12'!G29+'Пионерская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12'!G29+'Калинина 18'!G29+'Калинина 23'!G29+'Пионерская 9'!G29+'Высокая 4'!G29+'Пухова 15'!G29+#REF!+#REF!+'Пухова 17'!G29+'Калинина 4'!G29+'Пионерская 18'!G29+'Чичерина 12 к.1'!G29+'Телевизионная 6 к.1'!G29+#REF!+'Пионерская 2'!G29+'Телевизионная 2 к.1'!G29+'Чичерина 16'!G29+'Чичерина 22'!G29+#REF!+'Ленина 68,8'!G29+'Ленина 67'!G29+'Огарева 20'!G28+'Пролетарская 40'!G28+'Чижевского 4'!G29</f>
        <v>#REF!</v>
      </c>
    </row>
    <row r="29" spans="1:9" x14ac:dyDescent="0.25">
      <c r="A29" s="9" t="s">
        <v>37</v>
      </c>
      <c r="B29" s="9" t="s">
        <v>106</v>
      </c>
      <c r="C29" s="16">
        <v>3.13</v>
      </c>
      <c r="D29" s="10" t="e">
        <f>'Телевизионная 2а'!D29+'Пионерская 16'!D30+'Пионерская 1318'!D30+'Багговута 12'!D30+'Пионерская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12'!D30+'Калинина 18'!D30+'Калинина 23'!D30+'Пионерская 9'!D30+'Высокая 4'!D30+'Пухова 15'!D30+#REF!+#REF!+'Пухова 17'!D30+'Калинина 4'!D30+'Пионерская 18'!D30+'Чичерина 12 к.1'!D30+'Телевизионная 6 к.1'!D30+#REF!+'Пионерская 2'!D30+'Телевизионная 2 к.1'!D30+'Чичерина 16'!D30+'Чичерина 22'!D30+#REF!+'Ленина 68,8'!D30+'Ленина 67'!D30+'Огарева 20'!D29+'Пролетарская 40'!D29+'Чижевского 4'!D30</f>
        <v>#REF!</v>
      </c>
      <c r="E29" s="10" t="e">
        <f>'Телевизионная 2а'!E29+'Пионерская 16'!E30+'Пионерская 1318'!E30+'Багговута 12'!E30+'Пионерская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12'!E30+'Калинина 18'!E30+'Калинина 23'!E30+'Пионерская 9'!E30+'Высокая 4'!E30+'Пухова 15'!E30+#REF!+#REF!+'Пухова 17'!E30+'Калинина 4'!E30+'Пионерская 18'!E30+'Чичерина 12 к.1'!E30+'Телевизионная 6 к.1'!E30+#REF!+'Пионерская 2'!E30+'Телевизионная 2 к.1'!E30+'Чичерина 16'!E30+'Чичерина 22'!E30+#REF!+'Ленина 68,8'!E30+'Ленина 67'!E30+'Огарева 20'!E29+'Пролетарская 40'!E29+'Чижевского 4'!E30</f>
        <v>#REF!</v>
      </c>
      <c r="F29" s="10" t="e">
        <f>'Телевизионная 2а'!F29+'Пионерская 16'!F30+'Пионерская 1318'!F30+'Багговута 12'!F30+'Пионерская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12'!F30+'Калинина 18'!F30+'Калинина 23'!F30+'Пионерская 9'!F30+'Высокая 4'!F30+'Пухова 15'!F30+#REF!+#REF!+'Пухова 17'!F30+'Калинина 4'!F30+'Пионерская 18'!F30+'Чичерина 12 к.1'!F30+'Телевизионная 6 к.1'!F30+#REF!+'Пионерская 2'!F30+'Телевизионная 2 к.1'!F30+'Чичерина 16'!F30+'Чичерина 22'!F30+#REF!+'Ленина 68,8'!F30+'Ленина 67'!F30+'Огарева 20'!F29+'Пролетарская 40'!F29+'Чижевского 4'!F30</f>
        <v>#REF!</v>
      </c>
      <c r="G29" s="10" t="e">
        <f>'Телевизионная 2а'!G29+'Пионерская 16'!G30+'Пионерская 1318'!G30+'Багговута 12'!G30+'Пионерская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12'!G30+'Калинина 18'!G30+'Калинина 23'!G30+'Пионерская 9'!G30+'Высокая 4'!G30+'Пухова 15'!G30+#REF!+#REF!+'Пухова 17'!G30+'Калинина 4'!G30+'Пионерская 18'!G30+'Чичерина 12 к.1'!G30+'Телевизионная 6 к.1'!G30+#REF!+'Пионерская 2'!G30+'Телевизионная 2 к.1'!G30+'Чичерина 16'!G30+'Чичерина 22'!G30+#REF!+'Ленина 68,8'!G30+'Ленина 67'!G30+'Огарева 20'!G29+'Пролетарская 40'!G29+'Чижевского 4'!G30</f>
        <v>#REF!</v>
      </c>
    </row>
    <row r="30" spans="1:9" x14ac:dyDescent="0.25">
      <c r="A30" s="9" t="s">
        <v>39</v>
      </c>
      <c r="B30" s="9" t="s">
        <v>38</v>
      </c>
      <c r="C30" s="16">
        <v>18.21</v>
      </c>
      <c r="D30" s="10" t="e">
        <f>'Телевизионная 2а'!D30+'Пионерская 16'!D31+'Пионерская 1318'!D31+'Багговута 12'!D31+'Пионерская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12'!D31+'Калинина 18'!D31+'Калинина 23'!D31+'Пионерская 9'!D31+'Высокая 4'!D31+'Пухова 15'!D31+#REF!+#REF!+'Пухова 17'!D31+'Калинина 4'!D31+'Пионерская 18'!D31+'Чичерина 12 к.1'!D31+'Телевизионная 6 к.1'!D31+#REF!+'Пионерская 2'!D31+'Телевизионная 2 к.1'!D31+'Чичерина 16'!D31+'Чичерина 22'!D31+#REF!+'Ленина 68,8'!D31+'Ленина 67'!D31+'Огарева 20'!D30+'Пролетарская 40'!D30+'Чижевского 4'!D31</f>
        <v>#REF!</v>
      </c>
      <c r="E30" s="10" t="e">
        <f>'Телевизионная 2а'!E30+'Пионерская 16'!E31+'Пионерская 1318'!E31+'Багговута 12'!E31+'Пионерская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12'!E31+'Калинина 18'!E31+'Калинина 23'!E31+'Пионерская 9'!E31+'Высокая 4'!E31+'Пухова 15'!E31+#REF!+#REF!+'Пухова 17'!E31+'Калинина 4'!E31+'Пионерская 18'!E31+'Чичерина 12 к.1'!E31+'Телевизионная 6 к.1'!E31+#REF!+'Пионерская 2'!E31+'Телевизионная 2 к.1'!E31+'Чичерина 16'!E31+'Чичерина 22'!E31+#REF!+'Ленина 68,8'!E31+'Ленина 67'!E31+'Огарева 20'!E30+'Пролетарская 40'!E30+'Чижевского 4'!E31</f>
        <v>#REF!</v>
      </c>
      <c r="F30" s="10" t="e">
        <f>'Телевизионная 2а'!F30+'Пионерская 16'!F31+'Пионерская 1318'!F31+'Багговута 12'!F31+'Пионерская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12'!F31+'Калинина 18'!F31+'Калинина 23'!F31+'Пионерская 9'!F31+'Высокая 4'!F31+'Пухова 15'!F31+#REF!+#REF!+'Пухова 17'!F31+'Калинина 4'!F31+'Пионерская 18'!F31+'Чичерина 12 к.1'!F31+'Телевизионная 6 к.1'!F31+#REF!+'Пионерская 2'!F31+'Телевизионная 2 к.1'!F31+'Чичерина 16'!F31+'Чичерина 22'!F31+#REF!+'Ленина 68,8'!F31+'Ленина 67'!F31+'Огарева 20'!F30+'Пролетарская 40'!F30+'Чижевского 4'!F31</f>
        <v>#REF!</v>
      </c>
      <c r="G30" s="10" t="e">
        <f>'Телевизионная 2а'!G30+'Пионерская 16'!G31+'Пионерская 1318'!G31+'Багговута 12'!G31+'Пионерская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12'!G31+'Калинина 18'!G31+'Калинина 23'!G31+'Пионерская 9'!G31+'Высокая 4'!G31+'Пухова 15'!G31+#REF!+#REF!+'Пухова 17'!G31+'Калинина 4'!G31+'Пионерская 18'!G31+'Чичерина 12 к.1'!G31+'Телевизионная 6 к.1'!G31+#REF!+'Пионерская 2'!G31+'Телевизионная 2 к.1'!G31+'Чичерина 16'!G31+'Чичерина 22'!G31+#REF!+'Ленина 68,8'!G31+'Ленина 67'!G31+'Огарева 20'!G30+'Пролетарская 40'!G30+'Чижевского 4'!G31</f>
        <v>#REF!</v>
      </c>
    </row>
    <row r="31" spans="1:9" x14ac:dyDescent="0.25">
      <c r="A31" s="9" t="s">
        <v>42</v>
      </c>
      <c r="B31" s="9" t="s">
        <v>40</v>
      </c>
      <c r="C31" s="16">
        <v>115.3</v>
      </c>
      <c r="D31" s="10" t="e">
        <f>'Телевизионная 2а'!D31+'Пионерская 16'!D32+'Пионерская 1318'!D32+'Багговута 12'!D32+'Пионерская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12'!D32+'Калинина 18'!D32+'Калинина 23'!D32+'Пионерская 9'!D32+'Высокая 4'!D32+'Пухова 15'!D32+#REF!+#REF!+'Пухова 17'!D32+'Калинина 4'!D32+'Пионерская 18'!D32+'Чичерина 12 к.1'!D32+'Телевизионная 6 к.1'!D32+#REF!+'Пионерская 2'!D32+'Телевизионная 2 к.1'!D32+'Чичерина 16'!D32+'Чичерина 22'!D32+#REF!+'Ленина 68,8'!D32+'Ленина 67'!D32+'Огарева 20'!D31+'Пролетарская 40'!D31+'Чижевского 4'!D32</f>
        <v>#REF!</v>
      </c>
      <c r="E31" s="10" t="e">
        <f>'Телевизионная 2а'!E31+'Пионерская 16'!E32+'Пионерская 1318'!E32+'Багговута 12'!E32+'Пионерская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12'!E32+'Калинина 18'!E32+'Калинина 23'!E32+'Пионерская 9'!E32+'Высокая 4'!E32+'Пухова 15'!E32+#REF!+#REF!+'Пухова 17'!E32+'Калинина 4'!E32+'Пионерская 18'!E32+'Чичерина 12 к.1'!E32+'Телевизионная 6 к.1'!E32+#REF!+'Пионерская 2'!E32+'Телевизионная 2 к.1'!E32+'Чичерина 16'!E32+'Чичерина 22'!E32+#REF!+'Ленина 68,8'!E32+'Ленина 67'!E32+'Огарева 20'!E31+'Пролетарская 40'!E31+'Чижевского 4'!E32</f>
        <v>#REF!</v>
      </c>
      <c r="F31" s="10" t="e">
        <f>'Телевизионная 2а'!F31+'Пионерская 16'!F32+'Пионерская 1318'!F32+'Багговута 12'!F32+'Пионерская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12'!F32+'Калинина 18'!F32+'Калинина 23'!F32+'Пионерская 9'!F32+'Высокая 4'!F32+'Пухова 15'!F32+#REF!+#REF!+'Пухова 17'!F32+'Калинина 4'!F32+'Пионерская 18'!F32+'Чичерина 12 к.1'!F32+'Телевизионная 6 к.1'!F32+#REF!+'Пионерская 2'!F32+'Телевизионная 2 к.1'!F32+'Чичерина 16'!F32+'Чичерина 22'!F32+#REF!+'Ленина 68,8'!F32+'Ленина 67'!F32+'Огарева 20'!F31+'Пролетарская 40'!F31+'Чижевского 4'!F32</f>
        <v>#REF!</v>
      </c>
      <c r="G31" s="10" t="e">
        <f>'Телевизионная 2а'!G31+'Пионерская 16'!G32+'Пионерская 1318'!G32+'Багговута 12'!G32+'Пионерская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12'!G32+'Калинина 18'!G32+'Калинина 23'!G32+'Пионерская 9'!G32+'Высокая 4'!G32+'Пухова 15'!G32+#REF!+#REF!+'Пухова 17'!G32+'Калинина 4'!G32+'Пионерская 18'!G32+'Чичерина 12 к.1'!G32+'Телевизионная 6 к.1'!G32+#REF!+'Пионерская 2'!G32+'Телевизионная 2 к.1'!G32+'Чичерина 16'!G32+'Чичерина 22'!G32+#REF!+'Ленина 68,8'!G32+'Ленина 67'!G32+'Огарева 20'!G31+'Пролетарская 40'!G31+'Чижевского 4'!G32</f>
        <v>#REF!</v>
      </c>
    </row>
    <row r="32" spans="1:9" x14ac:dyDescent="0.25">
      <c r="A32" s="9" t="s">
        <v>41</v>
      </c>
      <c r="B32" s="9" t="s">
        <v>43</v>
      </c>
      <c r="C32" s="16">
        <v>1544.29</v>
      </c>
      <c r="D32" s="10" t="e">
        <f>'Телевизионная 2а'!D32+'Пионерская 16'!D33+'Пионерская 1318'!D33+'Багговута 12'!D33+'Пионерская 15'!D32+'Социалистическая 3'!D33+'Социалистическая 4'!D33+'Социалистическая 6'!D33+'Социалистическая 6 к.1'!D33+'Социалистическая 9'!D33+'Социалистическая 12'!D33+'Телевизионная 2'!D33+'Телевизионная 4'!D33+'Чичерина 7а'!D33+'Чичерина 8'!D33+#REF!+'Чичерина 16 к. 1'!D33+'пер.Чичерина 24'!D32+'пер. Чичерина 28'!D33+'Калинина 12'!D33+'Калинина 18'!D33+'Калинина 23'!D33+'Пионерская 9'!D33+'Высокая 4'!D33+'Пухова 15'!D33+#REF!+#REF!+'Пухова 17'!D33+'Калинина 4'!D33+'Пионерская 18'!D33+'Чичерина 12 к.1'!D33+'Телевизионная 6 к.1'!D33+#REF!+'Пионерская 2'!D33+'Телевизионная 2 к.1'!D33+'Чичерина 16'!D33+'Чичерина 22'!D33+#REF!+'Ленина 68,8'!D33+'Ленина 67'!D33+'Огарева 20'!D32+'Пролетарская 40'!D32+'Чижевского 4'!D33</f>
        <v>#REF!</v>
      </c>
      <c r="E32" s="10" t="e">
        <f>'Телевизионная 2а'!E32+'Пионерская 16'!E33+'Пионерская 1318'!E33+'Багговута 12'!E33+'Пионерская 15'!E32+'Социалистическая 3'!E33+'Социалистическая 4'!E33+'Социалистическая 6'!E33+'Социалистическая 6 к.1'!E33+'Социалистическая 9'!E33+'Социалистическая 12'!E33+'Телевизионная 2'!E33+'Телевизионная 4'!E33+'Чичерина 7а'!E33+'Чичерина 8'!E33+#REF!+'Чичерина 16 к. 1'!E33+'пер.Чичерина 24'!E32+'пер. Чичерина 28'!E33+'Калинина 12'!E33+'Калинина 18'!E33+'Калинина 23'!E33+'Пионерская 9'!E33+'Высокая 4'!E33+'Пухова 15'!E33+#REF!+#REF!+'Пухова 17'!E33+'Калинина 4'!E33+'Пионерская 18'!E33+'Чичерина 12 к.1'!E33+'Телевизионная 6 к.1'!E33+#REF!+'Пионерская 2'!E33+'Телевизионная 2 к.1'!E33+'Чичерина 16'!E33+'Чичерина 22'!E33+#REF!+'Ленина 68,8'!E33+'Ленина 67'!E33+'Огарева 20'!E32+'Пролетарская 40'!E32+'Чижевского 4'!E33</f>
        <v>#REF!</v>
      </c>
      <c r="F32" s="10" t="e">
        <f>'Телевизионная 2а'!F32+'Пионерская 16'!F33+'Пионерская 1318'!F33+'Багговута 12'!F33+'Пионерская 15'!F32+'Социалистическая 3'!F33+'Социалистическая 4'!F33+'Социалистическая 6'!F33+'Социалистическая 6 к.1'!F33+'Социалистическая 9'!F33+'Социалистическая 12'!F33+'Телевизионная 2'!F33+'Телевизионная 4'!F33+'Чичерина 7а'!F33+'Чичерина 8'!F33+#REF!+'Чичерина 16 к. 1'!F33+'пер.Чичерина 24'!F32+'пер. Чичерина 28'!F33+'Калинина 12'!F33+'Калинина 18'!F33+'Калинина 23'!F33+'Пионерская 9'!F33+'Высокая 4'!F33+'Пухова 15'!F33+#REF!+#REF!+'Пухова 17'!F33+'Калинина 4'!F33+'Пионерская 18'!F33+'Чичерина 12 к.1'!F33+'Телевизионная 6 к.1'!F33+#REF!+'Пионерская 2'!F33+'Телевизионная 2 к.1'!F33+'Чичерина 16'!F33+'Чичерина 22'!F33+#REF!+'Ленина 68,8'!F33+'Ленина 67'!F33+'Огарева 20'!F32+'Пролетарская 40'!F32+'Чижевского 4'!F33</f>
        <v>#REF!</v>
      </c>
      <c r="G32" s="10" t="e">
        <f>'Телевизионная 2а'!G32+'Пионерская 16'!G33+'Пионерская 1318'!G33+'Багговута 12'!G33+'Пионерская 15'!G32+'Социалистическая 3'!G33+'Социалистическая 4'!G33+'Социалистическая 6'!G33+'Социалистическая 6 к.1'!G33+'Социалистическая 9'!G33+'Социалистическая 12'!G33+'Телевизионная 2'!G33+'Телевизионная 4'!G33+'Чичерина 7а'!G33+'Чичерина 8'!G33+#REF!+'Чичерина 16 к. 1'!G33+'пер.Чичерина 24'!G32+'пер. Чичерина 28'!G33+'Калинина 12'!G33+'Калинина 18'!G33+'Калинина 23'!G33+'Пионерская 9'!G33+'Высокая 4'!G33+'Пухова 15'!G33+#REF!+#REF!+'Пухова 17'!G33+'Калинина 4'!G33+'Пионерская 18'!G33+'Чичерина 12 к.1'!G33+'Телевизионная 6 к.1'!G33+#REF!+'Пионерская 2'!G33+'Телевизионная 2 к.1'!G33+'Чичерина 16'!G33+'Чичерина 22'!G33+#REF!+'Ленина 68,8'!G33+'Ленина 67'!G33+'Огарева 20'!G32+'Пролетарская 40'!G32+'Чижевского 4'!G33</f>
        <v>#REF!</v>
      </c>
    </row>
    <row r="33" spans="1:10" s="20" customFormat="1" ht="13.5" x14ac:dyDescent="0.25">
      <c r="A33" s="360" t="s">
        <v>107</v>
      </c>
      <c r="B33" s="361"/>
      <c r="C33" s="362"/>
      <c r="D33" s="19" t="e">
        <f t="shared" ref="D33:J33" si="0">D18+D23+D24+D25+D28</f>
        <v>#REF!</v>
      </c>
      <c r="E33" s="19" t="e">
        <f t="shared" si="0"/>
        <v>#REF!</v>
      </c>
      <c r="F33" s="19" t="e">
        <f t="shared" si="0"/>
        <v>#REF!</v>
      </c>
      <c r="G33" s="19" t="e">
        <f t="shared" si="0"/>
        <v>#REF!</v>
      </c>
      <c r="H33" s="19">
        <f t="shared" si="0"/>
        <v>6.75</v>
      </c>
      <c r="I33" s="19">
        <f t="shared" si="0"/>
        <v>0</v>
      </c>
      <c r="J33" s="19">
        <f t="shared" si="0"/>
        <v>0</v>
      </c>
    </row>
    <row r="34" spans="1:10" s="3" customFormat="1" x14ac:dyDescent="0.25"/>
    <row r="35" spans="1:10" s="3" customFormat="1" x14ac:dyDescent="0.25">
      <c r="A35" s="3" t="s">
        <v>55</v>
      </c>
      <c r="G35" s="3" t="s">
        <v>49</v>
      </c>
      <c r="I35" s="3" t="s">
        <v>102</v>
      </c>
    </row>
    <row r="36" spans="1:10" s="3" customFormat="1" x14ac:dyDescent="0.25"/>
    <row r="37" spans="1:10" s="3" customFormat="1" x14ac:dyDescent="0.25"/>
    <row r="38" spans="1:10" s="3" customFormat="1" x14ac:dyDescent="0.25">
      <c r="G38" s="4" t="s">
        <v>109</v>
      </c>
    </row>
    <row r="39" spans="1:10" s="3" customFormat="1" x14ac:dyDescent="0.25"/>
    <row r="40" spans="1:10" s="3" customFormat="1" x14ac:dyDescent="0.25"/>
    <row r="41" spans="1:10" s="3" customFormat="1" x14ac:dyDescent="0.25">
      <c r="A41" s="3" t="s">
        <v>50</v>
      </c>
    </row>
    <row r="42" spans="1:10" s="3" customFormat="1" x14ac:dyDescent="0.25">
      <c r="C42" s="14" t="s">
        <v>51</v>
      </c>
      <c r="E42" s="14"/>
      <c r="F42" s="14"/>
      <c r="G42" s="14"/>
    </row>
    <row r="43" spans="1:10" s="3" customFormat="1" x14ac:dyDescent="0.25"/>
    <row r="44" spans="1:10" s="3" customFormat="1" x14ac:dyDescent="0.25"/>
  </sheetData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G15" sqref="G15"/>
    </sheetView>
  </sheetViews>
  <sheetFormatPr defaultRowHeight="15" outlineLevelCol="1" x14ac:dyDescent="0.25"/>
  <cols>
    <col min="1" max="1" width="5" style="1" customWidth="1"/>
    <col min="2" max="2" width="41.7109375" style="1" customWidth="1"/>
    <col min="3" max="3" width="12.85546875" style="1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x14ac:dyDescent="0.25">
      <c r="A7" s="3" t="s">
        <v>2</v>
      </c>
      <c r="F7" s="4" t="s">
        <v>153</v>
      </c>
    </row>
    <row r="8" spans="1:11" s="3" customFormat="1" x14ac:dyDescent="0.25">
      <c r="A8" s="3" t="s">
        <v>3</v>
      </c>
      <c r="F8" s="4" t="s">
        <v>195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5.75" thickBot="1" x14ac:dyDescent="0.3">
      <c r="A13" s="287" t="s">
        <v>240</v>
      </c>
      <c r="B13" s="288"/>
      <c r="C13" s="288"/>
      <c r="D13" s="73">
        <v>371699.09</v>
      </c>
      <c r="E13" s="39"/>
      <c r="F13" s="39"/>
      <c r="G13" s="39"/>
      <c r="H13" s="40"/>
      <c r="I13" s="40"/>
    </row>
    <row r="14" spans="1:11" s="15" customFormat="1" ht="10.5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73">
        <v>-105022.04</v>
      </c>
      <c r="H15" s="40"/>
      <c r="I15" s="40"/>
    </row>
    <row r="16" spans="1:11" s="15" customFormat="1" ht="15.75" thickBot="1" x14ac:dyDescent="0.3">
      <c r="A16" s="218" t="s">
        <v>215</v>
      </c>
      <c r="B16" s="219"/>
      <c r="C16" s="219"/>
      <c r="D16" s="44"/>
      <c r="E16" s="45"/>
      <c r="F16" s="45"/>
      <c r="G16" s="73">
        <v>-136836.53</v>
      </c>
      <c r="H16" s="40"/>
      <c r="I16" s="40"/>
    </row>
    <row r="17" spans="1:9" s="3" customFormat="1" ht="8.2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3" customFormat="1" ht="29.25" x14ac:dyDescent="0.25">
      <c r="A19" s="187" t="s">
        <v>14</v>
      </c>
      <c r="B19" s="137" t="s">
        <v>15</v>
      </c>
      <c r="C19" s="201">
        <f>SUM(C20:C23)</f>
        <v>8.9599999999999991</v>
      </c>
      <c r="D19" s="165">
        <v>418893.48</v>
      </c>
      <c r="E19" s="165">
        <v>405175.52</v>
      </c>
      <c r="F19" s="165">
        <f t="shared" ref="F19:F23" si="0">D19</f>
        <v>418893.48</v>
      </c>
      <c r="G19" s="166">
        <f>E19-D19</f>
        <v>-13717.959999999963</v>
      </c>
      <c r="H19" s="70">
        <f>C19</f>
        <v>8.9599999999999991</v>
      </c>
      <c r="I19" s="190"/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143994.63375000001</v>
      </c>
      <c r="E20" s="67">
        <f>E19*I20</f>
        <v>139279.08500000002</v>
      </c>
      <c r="F20" s="67">
        <f t="shared" si="0"/>
        <v>143994.63375000001</v>
      </c>
      <c r="G20" s="68">
        <f t="shared" ref="G20:G28" si="1">E20-D20</f>
        <v>-4715.5487499999872</v>
      </c>
      <c r="H20" s="70">
        <f t="shared" ref="H20:H23" si="2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68724.711562500015</v>
      </c>
      <c r="E21" s="67">
        <f>E19*I21</f>
        <v>66474.108750000014</v>
      </c>
      <c r="F21" s="67">
        <f t="shared" si="0"/>
        <v>68724.711562500015</v>
      </c>
      <c r="G21" s="68">
        <f t="shared" si="1"/>
        <v>-2250.6028125000012</v>
      </c>
      <c r="H21" s="70">
        <f t="shared" si="2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84620.223080357158</v>
      </c>
      <c r="E22" s="67">
        <f>E19*I22</f>
        <v>81849.072678571451</v>
      </c>
      <c r="F22" s="67">
        <f t="shared" si="0"/>
        <v>84620.223080357158</v>
      </c>
      <c r="G22" s="68">
        <f t="shared" si="1"/>
        <v>-2771.1504017857078</v>
      </c>
      <c r="H22" s="70">
        <f t="shared" si="2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121553.91160714286</v>
      </c>
      <c r="E23" s="67">
        <f>E19*I23</f>
        <v>117573.25357142859</v>
      </c>
      <c r="F23" s="67">
        <f t="shared" si="0"/>
        <v>121553.91160714286</v>
      </c>
      <c r="G23" s="68">
        <f t="shared" si="1"/>
        <v>-3980.6580357142666</v>
      </c>
      <c r="H23" s="70">
        <f t="shared" si="2"/>
        <v>2.6</v>
      </c>
      <c r="I23" s="15">
        <f>H23/H19</f>
        <v>0.29017857142857145</v>
      </c>
    </row>
    <row r="24" spans="1:9" x14ac:dyDescent="0.25">
      <c r="A24" s="137" t="s">
        <v>25</v>
      </c>
      <c r="B24" s="137" t="s">
        <v>26</v>
      </c>
      <c r="C24" s="201">
        <v>3.43</v>
      </c>
      <c r="D24" s="166">
        <v>160499.04</v>
      </c>
      <c r="E24" s="166">
        <v>155290.71</v>
      </c>
      <c r="F24" s="165">
        <f>D24</f>
        <v>160499.04</v>
      </c>
      <c r="G24" s="166">
        <f t="shared" si="1"/>
        <v>-5208.3300000000163</v>
      </c>
      <c r="H24" s="186"/>
      <c r="I24" s="186"/>
    </row>
    <row r="25" spans="1:9" x14ac:dyDescent="0.25">
      <c r="A25" s="137" t="s">
        <v>27</v>
      </c>
      <c r="B25" s="137" t="s">
        <v>28</v>
      </c>
      <c r="C25" s="201">
        <v>4.5999999999999996</v>
      </c>
      <c r="D25" s="166">
        <v>215246.88</v>
      </c>
      <c r="E25" s="166">
        <v>208153.92</v>
      </c>
      <c r="F25" s="166">
        <f>D25</f>
        <v>215246.88</v>
      </c>
      <c r="G25" s="166">
        <f t="shared" si="1"/>
        <v>-7092.9599999999919</v>
      </c>
      <c r="H25" s="186"/>
      <c r="I25" s="186"/>
    </row>
    <row r="26" spans="1:9" x14ac:dyDescent="0.25">
      <c r="A26" s="137" t="s">
        <v>29</v>
      </c>
      <c r="B26" s="137" t="s">
        <v>356</v>
      </c>
      <c r="C26" s="180">
        <v>1</v>
      </c>
      <c r="D26" s="166">
        <v>46792.800000000003</v>
      </c>
      <c r="E26" s="166">
        <v>45276.3</v>
      </c>
      <c r="F26" s="166">
        <f>D26</f>
        <v>46792.800000000003</v>
      </c>
      <c r="G26" s="166">
        <f t="shared" si="1"/>
        <v>-1516.5</v>
      </c>
      <c r="H26" s="186"/>
      <c r="I26" s="186"/>
    </row>
    <row r="27" spans="1:9" x14ac:dyDescent="0.25">
      <c r="A27" s="137" t="s">
        <v>31</v>
      </c>
      <c r="B27" s="137" t="s">
        <v>132</v>
      </c>
      <c r="C27" s="201">
        <v>1.82</v>
      </c>
      <c r="D27" s="166">
        <v>85032.960000000006</v>
      </c>
      <c r="E27" s="166">
        <f>862.28+82342.14</f>
        <v>83204.42</v>
      </c>
      <c r="F27" s="172">
        <f>F42</f>
        <v>11926.7642</v>
      </c>
      <c r="G27" s="166">
        <f t="shared" si="1"/>
        <v>-1828.5400000000081</v>
      </c>
      <c r="H27" s="186"/>
      <c r="I27" s="186"/>
    </row>
    <row r="28" spans="1:9" x14ac:dyDescent="0.25">
      <c r="A28" s="221">
        <v>6</v>
      </c>
      <c r="B28" s="227" t="s">
        <v>248</v>
      </c>
      <c r="C28" s="202">
        <v>1755.25</v>
      </c>
      <c r="D28" s="166">
        <v>11863.25</v>
      </c>
      <c r="E28" s="166">
        <v>11653.65</v>
      </c>
      <c r="F28" s="172">
        <f>D28</f>
        <v>11863.25</v>
      </c>
      <c r="G28" s="166">
        <f t="shared" si="1"/>
        <v>-209.60000000000036</v>
      </c>
      <c r="H28" s="186"/>
      <c r="I28" s="186"/>
    </row>
    <row r="29" spans="1:9" x14ac:dyDescent="0.25">
      <c r="A29" s="221">
        <f>A28+1</f>
        <v>7</v>
      </c>
      <c r="B29" s="137" t="s">
        <v>36</v>
      </c>
      <c r="C29" s="201"/>
      <c r="D29" s="166">
        <f>SUM(D30:D33)</f>
        <v>2109804.7199999997</v>
      </c>
      <c r="E29" s="166">
        <f>SUM(E30:E33)</f>
        <v>2025682.27</v>
      </c>
      <c r="F29" s="166">
        <f>SUM(F30:F33)</f>
        <v>2109804.7199999997</v>
      </c>
      <c r="G29" s="166">
        <f>SUM(G30:G33)</f>
        <v>-84122.45</v>
      </c>
      <c r="H29" s="186"/>
      <c r="I29" s="186"/>
    </row>
    <row r="30" spans="1:9" x14ac:dyDescent="0.25">
      <c r="A30" s="98" t="s">
        <v>37</v>
      </c>
      <c r="B30" s="9" t="s">
        <v>106</v>
      </c>
      <c r="C30" s="152" t="s">
        <v>245</v>
      </c>
      <c r="D30" s="68">
        <v>70932.600000000006</v>
      </c>
      <c r="E30" s="68">
        <v>69652.509999999995</v>
      </c>
      <c r="F30" s="68">
        <f>D30</f>
        <v>70932.600000000006</v>
      </c>
      <c r="G30" s="68">
        <f>E30-D30</f>
        <v>-1280.0900000000111</v>
      </c>
    </row>
    <row r="31" spans="1:9" x14ac:dyDescent="0.25">
      <c r="A31" s="98" t="s">
        <v>39</v>
      </c>
      <c r="B31" s="9" t="s">
        <v>171</v>
      </c>
      <c r="C31" s="152" t="s">
        <v>246</v>
      </c>
      <c r="D31" s="68">
        <v>320758.64</v>
      </c>
      <c r="E31" s="68">
        <v>300845.52</v>
      </c>
      <c r="F31" s="68">
        <f>D31</f>
        <v>320758.64</v>
      </c>
      <c r="G31" s="68">
        <f>E31-D31</f>
        <v>-19913.119999999995</v>
      </c>
    </row>
    <row r="32" spans="1:9" x14ac:dyDescent="0.25">
      <c r="A32" s="98" t="s">
        <v>42</v>
      </c>
      <c r="B32" s="9" t="s">
        <v>173</v>
      </c>
      <c r="C32" s="213" t="s">
        <v>504</v>
      </c>
      <c r="D32" s="68">
        <v>589232.18999999994</v>
      </c>
      <c r="E32" s="68">
        <v>546701.23</v>
      </c>
      <c r="F32" s="68">
        <f>D32</f>
        <v>589232.18999999994</v>
      </c>
      <c r="G32" s="68">
        <f>E32-D32</f>
        <v>-42530.959999999963</v>
      </c>
    </row>
    <row r="33" spans="1:10" ht="15.75" thickBot="1" x14ac:dyDescent="0.3">
      <c r="A33" s="98" t="s">
        <v>41</v>
      </c>
      <c r="B33" s="9" t="s">
        <v>43</v>
      </c>
      <c r="C33" s="152" t="s">
        <v>247</v>
      </c>
      <c r="D33" s="68">
        <v>1128881.29</v>
      </c>
      <c r="E33" s="68">
        <v>1108483.01</v>
      </c>
      <c r="F33" s="68">
        <f>D33</f>
        <v>1128881.29</v>
      </c>
      <c r="G33" s="68">
        <f>E33-D33</f>
        <v>-20398.280000000028</v>
      </c>
    </row>
    <row r="34" spans="1:10" s="20" customFormat="1" ht="14.25" thickBot="1" x14ac:dyDescent="0.3">
      <c r="A34" s="287" t="s">
        <v>241</v>
      </c>
      <c r="B34" s="288"/>
      <c r="C34" s="288"/>
      <c r="D34" s="73">
        <f>D13+D19+D24+D25+D26+D27+D28+D29-E19-E24-E25-E26-E27-E28-E29</f>
        <v>485395.43000000017</v>
      </c>
      <c r="E34" s="39"/>
      <c r="F34" s="39"/>
      <c r="G34" s="39"/>
      <c r="H34" s="40"/>
      <c r="I34" s="40"/>
      <c r="J34" s="22"/>
    </row>
    <row r="35" spans="1:10" s="15" customFormat="1" ht="10.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218" t="s">
        <v>242</v>
      </c>
      <c r="B36" s="219"/>
      <c r="C36" s="219"/>
      <c r="D36" s="44"/>
      <c r="E36" s="45"/>
      <c r="F36" s="45"/>
      <c r="G36" s="38">
        <f>G15</f>
        <v>-105022.04</v>
      </c>
      <c r="H36" s="40"/>
      <c r="I36" s="40"/>
    </row>
    <row r="37" spans="1:10" s="15" customFormat="1" ht="15.75" thickBot="1" x14ac:dyDescent="0.3">
      <c r="A37" s="218" t="s">
        <v>243</v>
      </c>
      <c r="B37" s="219"/>
      <c r="C37" s="219"/>
      <c r="D37" s="44"/>
      <c r="E37" s="45"/>
      <c r="F37" s="45"/>
      <c r="G37" s="38">
        <f>G16+E27-F27</f>
        <v>-65558.874200000006</v>
      </c>
      <c r="H37" s="40"/>
      <c r="I37" s="40"/>
    </row>
    <row r="38" spans="1:10" s="15" customFormat="1" x14ac:dyDescent="0.25">
      <c r="A38" s="220"/>
      <c r="B38" s="41"/>
      <c r="C38" s="41"/>
      <c r="D38" s="42"/>
      <c r="E38" s="39"/>
      <c r="F38" s="39"/>
      <c r="G38" s="42"/>
      <c r="H38" s="40"/>
      <c r="I38" s="40"/>
    </row>
    <row r="39" spans="1:10" s="15" customFormat="1" ht="30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0" spans="1:10" ht="10.5" customHeight="1" x14ac:dyDescent="0.25"/>
    <row r="41" spans="1:10" ht="28.5" x14ac:dyDescent="0.25">
      <c r="A41" s="5" t="s">
        <v>11</v>
      </c>
      <c r="B41" s="306" t="s">
        <v>45</v>
      </c>
      <c r="C41" s="307"/>
      <c r="D41" s="5" t="s">
        <v>254</v>
      </c>
      <c r="E41" s="5" t="s">
        <v>253</v>
      </c>
      <c r="F41" s="306" t="s">
        <v>46</v>
      </c>
      <c r="G41" s="307"/>
      <c r="H41" s="7"/>
      <c r="I41" s="7"/>
    </row>
    <row r="42" spans="1:10" s="7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SUM(F43:L46)</f>
        <v>11926.7642</v>
      </c>
      <c r="G42" s="312"/>
      <c r="H42" s="12"/>
      <c r="I42" s="12"/>
    </row>
    <row r="43" spans="1:10" s="12" customFormat="1" ht="15" customHeight="1" x14ac:dyDescent="0.25">
      <c r="A43" s="9" t="s">
        <v>16</v>
      </c>
      <c r="B43" s="298" t="s">
        <v>370</v>
      </c>
      <c r="C43" s="299"/>
      <c r="D43" s="177" t="s">
        <v>262</v>
      </c>
      <c r="E43" s="177">
        <v>4</v>
      </c>
      <c r="F43" s="329">
        <v>2881.53</v>
      </c>
      <c r="G43" s="330"/>
      <c r="H43" s="1"/>
      <c r="I43" s="1"/>
    </row>
    <row r="44" spans="1:10" ht="15" customHeight="1" x14ac:dyDescent="0.25">
      <c r="A44" s="9" t="s">
        <v>18</v>
      </c>
      <c r="B44" s="298" t="s">
        <v>232</v>
      </c>
      <c r="C44" s="299"/>
      <c r="D44" s="177" t="s">
        <v>295</v>
      </c>
      <c r="E44" s="177">
        <v>600</v>
      </c>
      <c r="F44" s="315">
        <v>5875.2</v>
      </c>
      <c r="G44" s="315"/>
    </row>
    <row r="45" spans="1:10" ht="15" customHeight="1" x14ac:dyDescent="0.25">
      <c r="A45" s="9" t="s">
        <v>20</v>
      </c>
      <c r="B45" s="298" t="s">
        <v>371</v>
      </c>
      <c r="C45" s="299"/>
      <c r="D45" s="177" t="s">
        <v>262</v>
      </c>
      <c r="E45" s="177">
        <v>2</v>
      </c>
      <c r="F45" s="329">
        <v>2337.9899999999998</v>
      </c>
      <c r="G45" s="330"/>
    </row>
    <row r="46" spans="1:10" s="3" customFormat="1" x14ac:dyDescent="0.25">
      <c r="A46" s="9" t="s">
        <v>133</v>
      </c>
      <c r="B46" s="216" t="s">
        <v>533</v>
      </c>
      <c r="C46" s="217"/>
      <c r="D46" s="177"/>
      <c r="E46" s="177"/>
      <c r="F46" s="315">
        <f>E27*1%</f>
        <v>832.04420000000005</v>
      </c>
      <c r="G46" s="315"/>
    </row>
    <row r="47" spans="1:10" s="3" customFormat="1" x14ac:dyDescent="0.25">
      <c r="H47" s="1"/>
      <c r="I47" s="1"/>
    </row>
    <row r="48" spans="1:10" s="3" customFormat="1" x14ac:dyDescent="0.25">
      <c r="A48" s="3" t="s">
        <v>55</v>
      </c>
      <c r="C48" s="3" t="s">
        <v>49</v>
      </c>
      <c r="F48" s="3" t="s">
        <v>102</v>
      </c>
      <c r="H48" s="1"/>
      <c r="I48" s="1"/>
    </row>
    <row r="49" spans="1:9" s="3" customFormat="1" x14ac:dyDescent="0.25">
      <c r="F49" s="4" t="s">
        <v>265</v>
      </c>
      <c r="H49" s="1"/>
      <c r="I49" s="1"/>
    </row>
    <row r="50" spans="1:9" x14ac:dyDescent="0.25">
      <c r="A50" s="3" t="s">
        <v>50</v>
      </c>
      <c r="B50" s="3"/>
      <c r="C50" s="3"/>
      <c r="D50" s="3"/>
      <c r="E50" s="3"/>
      <c r="F50" s="3"/>
      <c r="G50" s="3"/>
    </row>
    <row r="51" spans="1:9" x14ac:dyDescent="0.25">
      <c r="A51" s="3"/>
      <c r="B51" s="3"/>
      <c r="C51" s="14" t="s">
        <v>51</v>
      </c>
      <c r="D51" s="3"/>
      <c r="E51" s="14"/>
      <c r="F51" s="14"/>
      <c r="G51" s="14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</sheetData>
  <mergeCells count="21">
    <mergeCell ref="A1:I1"/>
    <mergeCell ref="A2:I2"/>
    <mergeCell ref="A3:K3"/>
    <mergeCell ref="A5:I5"/>
    <mergeCell ref="A10:I10"/>
    <mergeCell ref="F46:G46"/>
    <mergeCell ref="A11:I11"/>
    <mergeCell ref="A12:I12"/>
    <mergeCell ref="F44:G44"/>
    <mergeCell ref="A13:C13"/>
    <mergeCell ref="F42:G42"/>
    <mergeCell ref="A34:C34"/>
    <mergeCell ref="A39:I39"/>
    <mergeCell ref="B41:C41"/>
    <mergeCell ref="F41:G41"/>
    <mergeCell ref="B42:C42"/>
    <mergeCell ref="B43:C43"/>
    <mergeCell ref="B44:C44"/>
    <mergeCell ref="F43:G43"/>
    <mergeCell ref="F45:G45"/>
    <mergeCell ref="B45:C45"/>
  </mergeCells>
  <phoneticPr fontId="18" type="noConversion"/>
  <pageMargins left="0.7" right="0.7" top="0.75" bottom="0.75" header="0.3" footer="0.3"/>
  <pageSetup paperSize="9" scale="71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Normal="100" workbookViewId="0">
      <selection activeCell="G42" sqref="G42:I42"/>
    </sheetView>
  </sheetViews>
  <sheetFormatPr defaultRowHeight="15" outlineLevelCol="1" x14ac:dyDescent="0.25"/>
  <cols>
    <col min="1" max="1" width="5" style="1" customWidth="1"/>
    <col min="2" max="2" width="46.140625" style="1" customWidth="1"/>
    <col min="3" max="3" width="13.42578125" style="1" customWidth="1"/>
    <col min="4" max="4" width="11.28515625" style="1" customWidth="1"/>
    <col min="5" max="5" width="15.140625" style="1" customWidth="1"/>
    <col min="6" max="6" width="14.5703125" style="1" customWidth="1"/>
    <col min="7" max="7" width="15" style="1" customWidth="1"/>
    <col min="8" max="8" width="14.42578125" style="1" customWidth="1"/>
    <col min="9" max="9" width="13.42578125" style="1" customWidth="1"/>
    <col min="10" max="10" width="10.85546875" style="1" hidden="1" customWidth="1" outlineLevel="1"/>
    <col min="11" max="11" width="13.42578125" style="1" hidden="1" customWidth="1" outlineLevel="1"/>
    <col min="12" max="14" width="9.140625" style="1" hidden="1" customWidth="1" outlineLevel="1"/>
    <col min="15" max="15" width="14.28515625" style="1" bestFit="1" customWidth="1" collapsed="1"/>
    <col min="16" max="16" width="12" style="1" customWidth="1"/>
    <col min="17" max="17" width="10.140625" style="1" bestFit="1" customWidth="1"/>
    <col min="18" max="18" width="9.5703125" style="1" bestFit="1" customWidth="1"/>
    <col min="19" max="20" width="11.5703125" style="1" bestFit="1" customWidth="1"/>
    <col min="21" max="16384" width="9.140625" style="1"/>
  </cols>
  <sheetData>
    <row r="1" spans="1:13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3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3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</row>
    <row r="7" spans="1:13" s="3" customFormat="1" x14ac:dyDescent="0.25">
      <c r="A7" s="3" t="s">
        <v>2</v>
      </c>
      <c r="G7" s="4" t="s">
        <v>160</v>
      </c>
      <c r="H7" s="4"/>
    </row>
    <row r="8" spans="1:13" s="3" customFormat="1" x14ac:dyDescent="0.25">
      <c r="A8" s="3" t="s">
        <v>3</v>
      </c>
      <c r="G8" s="4" t="s">
        <v>161</v>
      </c>
      <c r="H8" s="4"/>
    </row>
    <row r="9" spans="1:13" s="3" customFormat="1" x14ac:dyDescent="0.25">
      <c r="H9" s="15"/>
    </row>
    <row r="10" spans="1:13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3" s="15" customFormat="1" ht="15.75" thickBot="1" x14ac:dyDescent="0.3">
      <c r="A13" s="287" t="s">
        <v>240</v>
      </c>
      <c r="B13" s="288"/>
      <c r="C13" s="288"/>
      <c r="D13" s="43"/>
      <c r="E13" s="73">
        <v>504963.23</v>
      </c>
      <c r="F13" s="39"/>
      <c r="G13" s="39"/>
      <c r="H13" s="39"/>
      <c r="I13" s="39"/>
      <c r="J13" s="40"/>
      <c r="K13" s="40"/>
    </row>
    <row r="14" spans="1:13" s="15" customFormat="1" ht="10.5" customHeight="1" thickBot="1" x14ac:dyDescent="0.3">
      <c r="A14" s="41"/>
      <c r="B14" s="41"/>
      <c r="C14" s="41"/>
      <c r="D14" s="41"/>
      <c r="E14" s="42"/>
      <c r="F14" s="39"/>
      <c r="G14" s="39"/>
      <c r="H14" s="39"/>
      <c r="I14" s="39"/>
      <c r="J14" s="40"/>
      <c r="K14" s="40"/>
    </row>
    <row r="15" spans="1:13" s="15" customFormat="1" ht="15.75" thickBot="1" x14ac:dyDescent="0.3">
      <c r="A15" s="87" t="s">
        <v>215</v>
      </c>
      <c r="B15" s="43"/>
      <c r="C15" s="43"/>
      <c r="D15" s="43"/>
      <c r="E15" s="44"/>
      <c r="F15" s="45"/>
      <c r="G15" s="45"/>
      <c r="H15" s="45"/>
      <c r="I15" s="73">
        <v>76651.44</v>
      </c>
      <c r="J15" s="40"/>
      <c r="K15" s="40"/>
    </row>
    <row r="16" spans="1:13" s="3" customFormat="1" x14ac:dyDescent="0.25"/>
    <row r="17" spans="1:17" s="18" customFormat="1" ht="38.25" x14ac:dyDescent="0.25">
      <c r="A17" s="6" t="s">
        <v>11</v>
      </c>
      <c r="B17" s="6" t="s">
        <v>12</v>
      </c>
      <c r="C17" s="6" t="s">
        <v>103</v>
      </c>
      <c r="D17" s="120" t="s">
        <v>372</v>
      </c>
      <c r="E17" s="6" t="s">
        <v>373</v>
      </c>
      <c r="F17" s="6" t="s">
        <v>249</v>
      </c>
      <c r="G17" s="17" t="s">
        <v>250</v>
      </c>
      <c r="H17" s="80" t="s">
        <v>374</v>
      </c>
      <c r="I17" s="6" t="s">
        <v>251</v>
      </c>
    </row>
    <row r="18" spans="1:17" s="190" customFormat="1" ht="28.5" x14ac:dyDescent="0.2">
      <c r="A18" s="187" t="s">
        <v>14</v>
      </c>
      <c r="B18" s="137" t="s">
        <v>15</v>
      </c>
      <c r="C18" s="201">
        <f>SUM(C19:C22)</f>
        <v>8.83</v>
      </c>
      <c r="D18" s="201">
        <v>-409961.39999999991</v>
      </c>
      <c r="E18" s="165">
        <v>808913.79</v>
      </c>
      <c r="F18" s="165">
        <v>672313.27</v>
      </c>
      <c r="G18" s="165">
        <f>E18</f>
        <v>808913.79</v>
      </c>
      <c r="H18" s="165">
        <f>D18+F18-G18</f>
        <v>-546561.91999999993</v>
      </c>
      <c r="I18" s="166">
        <f>F18-E18</f>
        <v>-136600.52000000002</v>
      </c>
      <c r="J18" s="70">
        <f>C18</f>
        <v>8.83</v>
      </c>
    </row>
    <row r="19" spans="1:17" s="3" customFormat="1" x14ac:dyDescent="0.25">
      <c r="A19" s="8" t="s">
        <v>16</v>
      </c>
      <c r="B19" s="9" t="s">
        <v>17</v>
      </c>
      <c r="C19" s="92">
        <v>3.08</v>
      </c>
      <c r="D19" s="92">
        <v>-136134.20628643851</v>
      </c>
      <c r="E19" s="81">
        <f>E18*K19</f>
        <v>282157.92448471126</v>
      </c>
      <c r="F19" s="81">
        <f>F18*K19</f>
        <v>234510.17798414498</v>
      </c>
      <c r="G19" s="81">
        <f t="shared" ref="G19:G24" si="0">E19</f>
        <v>282157.92448471126</v>
      </c>
      <c r="H19" s="81">
        <f t="shared" ref="H19:H33" si="1">D19+F19-G19</f>
        <v>-183781.95278700479</v>
      </c>
      <c r="I19" s="76">
        <f t="shared" ref="I19:I27" si="2">F19-E19</f>
        <v>-47647.746500566282</v>
      </c>
      <c r="J19" s="70">
        <f t="shared" ref="J19:J22" si="3">C19</f>
        <v>3.08</v>
      </c>
      <c r="K19" s="3">
        <f>J19/J18</f>
        <v>0.34881087202718009</v>
      </c>
    </row>
    <row r="20" spans="1:17" s="3" customFormat="1" x14ac:dyDescent="0.25">
      <c r="A20" s="8" t="s">
        <v>18</v>
      </c>
      <c r="B20" s="9" t="s">
        <v>19</v>
      </c>
      <c r="C20" s="92">
        <v>1.47</v>
      </c>
      <c r="D20" s="92">
        <v>-69106.287237008859</v>
      </c>
      <c r="E20" s="81">
        <f>E18*K20</f>
        <v>134666.28214043035</v>
      </c>
      <c r="F20" s="81">
        <f>F18*K20</f>
        <v>111925.31221970555</v>
      </c>
      <c r="G20" s="81">
        <f t="shared" si="0"/>
        <v>134666.28214043035</v>
      </c>
      <c r="H20" s="81">
        <f t="shared" si="1"/>
        <v>-91847.257157733664</v>
      </c>
      <c r="I20" s="76">
        <f t="shared" si="2"/>
        <v>-22740.969920724805</v>
      </c>
      <c r="J20" s="70">
        <f t="shared" si="3"/>
        <v>1.47</v>
      </c>
      <c r="K20" s="3">
        <f>J20/J18</f>
        <v>0.16647791619479049</v>
      </c>
    </row>
    <row r="21" spans="1:17" s="3" customFormat="1" x14ac:dyDescent="0.25">
      <c r="A21" s="8" t="s">
        <v>20</v>
      </c>
      <c r="B21" s="9" t="s">
        <v>21</v>
      </c>
      <c r="C21" s="92">
        <v>1.68</v>
      </c>
      <c r="D21" s="92">
        <v>-80537.412268694548</v>
      </c>
      <c r="E21" s="81">
        <f>E18*K21</f>
        <v>153904.32244620612</v>
      </c>
      <c r="F21" s="81">
        <f>F18*K21</f>
        <v>127914.64253680634</v>
      </c>
      <c r="G21" s="81">
        <f t="shared" si="0"/>
        <v>153904.32244620612</v>
      </c>
      <c r="H21" s="81">
        <f t="shared" si="1"/>
        <v>-106527.09217809433</v>
      </c>
      <c r="I21" s="76">
        <f t="shared" si="2"/>
        <v>-25989.679909399783</v>
      </c>
      <c r="J21" s="70">
        <f t="shared" si="3"/>
        <v>1.68</v>
      </c>
      <c r="K21" s="3">
        <f>J21/J18</f>
        <v>0.19026047565118911</v>
      </c>
    </row>
    <row r="22" spans="1:17" s="3" customFormat="1" x14ac:dyDescent="0.25">
      <c r="A22" s="8" t="s">
        <v>22</v>
      </c>
      <c r="B22" s="9" t="s">
        <v>23</v>
      </c>
      <c r="C22" s="92">
        <v>2.6</v>
      </c>
      <c r="D22" s="92">
        <v>-124183.48420785804</v>
      </c>
      <c r="E22" s="81">
        <f>E18*K22</f>
        <v>238185.26092865234</v>
      </c>
      <c r="F22" s="81">
        <f>F18*K22</f>
        <v>197963.13725934314</v>
      </c>
      <c r="G22" s="81">
        <f t="shared" si="0"/>
        <v>238185.26092865234</v>
      </c>
      <c r="H22" s="81">
        <f t="shared" si="1"/>
        <v>-164405.60787716723</v>
      </c>
      <c r="I22" s="76">
        <f t="shared" si="2"/>
        <v>-40222.123669309192</v>
      </c>
      <c r="J22" s="70">
        <f t="shared" si="3"/>
        <v>2.6</v>
      </c>
      <c r="K22" s="3">
        <f>J22/J18</f>
        <v>0.29445073612684031</v>
      </c>
    </row>
    <row r="23" spans="1:17" s="186" customFormat="1" ht="14.25" x14ac:dyDescent="0.2">
      <c r="A23" s="137" t="s">
        <v>25</v>
      </c>
      <c r="B23" s="137" t="s">
        <v>26</v>
      </c>
      <c r="C23" s="201">
        <v>3.43</v>
      </c>
      <c r="D23" s="201">
        <v>-44271.160000000033</v>
      </c>
      <c r="E23" s="166">
        <v>298236.68</v>
      </c>
      <c r="F23" s="166">
        <v>300032.33</v>
      </c>
      <c r="G23" s="165">
        <f t="shared" si="0"/>
        <v>298236.68</v>
      </c>
      <c r="H23" s="165">
        <f t="shared" si="1"/>
        <v>-42475.510000000009</v>
      </c>
      <c r="I23" s="166">
        <f t="shared" si="2"/>
        <v>1795.6500000000233</v>
      </c>
      <c r="O23" s="234"/>
    </row>
    <row r="24" spans="1:17" s="186" customFormat="1" ht="14.25" x14ac:dyDescent="0.2">
      <c r="A24" s="137" t="s">
        <v>27</v>
      </c>
      <c r="B24" s="137" t="s">
        <v>28</v>
      </c>
      <c r="C24" s="201">
        <v>4.5999999999999996</v>
      </c>
      <c r="D24" s="201">
        <v>-49516.350000000006</v>
      </c>
      <c r="E24" s="166">
        <v>420287.28</v>
      </c>
      <c r="F24" s="166">
        <v>426738.28</v>
      </c>
      <c r="G24" s="166">
        <f t="shared" si="0"/>
        <v>420287.28</v>
      </c>
      <c r="H24" s="165">
        <f t="shared" si="1"/>
        <v>-43065.349999999977</v>
      </c>
      <c r="I24" s="166">
        <f t="shared" si="2"/>
        <v>6451</v>
      </c>
    </row>
    <row r="25" spans="1:17" s="186" customFormat="1" ht="14.25" x14ac:dyDescent="0.2">
      <c r="A25" s="137" t="s">
        <v>29</v>
      </c>
      <c r="B25" s="137" t="s">
        <v>170</v>
      </c>
      <c r="C25" s="201">
        <v>0</v>
      </c>
      <c r="D25" s="201">
        <v>11592.31</v>
      </c>
      <c r="E25" s="166">
        <v>111943</v>
      </c>
      <c r="F25" s="166">
        <v>105599.67999999999</v>
      </c>
      <c r="G25" s="166">
        <f>E25</f>
        <v>111943</v>
      </c>
      <c r="H25" s="165">
        <f>D25+F25-G25</f>
        <v>5248.9899999999907</v>
      </c>
      <c r="I25" s="166">
        <f>F25-E25</f>
        <v>-6343.320000000007</v>
      </c>
    </row>
    <row r="26" spans="1:17" s="186" customFormat="1" ht="14.25" x14ac:dyDescent="0.2">
      <c r="A26" s="137" t="s">
        <v>31</v>
      </c>
      <c r="B26" s="137" t="s">
        <v>132</v>
      </c>
      <c r="C26" s="201">
        <v>1.82</v>
      </c>
      <c r="D26" s="201">
        <v>76651.436400000006</v>
      </c>
      <c r="E26" s="166">
        <v>160786.92000000001</v>
      </c>
      <c r="F26" s="166">
        <v>163332.73000000001</v>
      </c>
      <c r="G26" s="172">
        <f>G42</f>
        <v>39021.667299999994</v>
      </c>
      <c r="H26" s="165">
        <f>D26+F26-G26</f>
        <v>200962.49910000002</v>
      </c>
      <c r="I26" s="166">
        <f t="shared" si="2"/>
        <v>2545.8099999999977</v>
      </c>
    </row>
    <row r="27" spans="1:17" s="186" customFormat="1" ht="14.25" x14ac:dyDescent="0.2">
      <c r="A27" s="137" t="s">
        <v>33</v>
      </c>
      <c r="B27" s="137" t="s">
        <v>248</v>
      </c>
      <c r="C27" s="202">
        <v>1755.25</v>
      </c>
      <c r="D27" s="201">
        <v>0</v>
      </c>
      <c r="E27" s="166">
        <v>10488.02</v>
      </c>
      <c r="F27" s="166">
        <v>10474.01</v>
      </c>
      <c r="G27" s="172">
        <f>E27</f>
        <v>10488.02</v>
      </c>
      <c r="H27" s="165">
        <f>D27+F27-G27</f>
        <v>-14.010000000000218</v>
      </c>
      <c r="I27" s="166">
        <f t="shared" si="2"/>
        <v>-14.010000000000218</v>
      </c>
    </row>
    <row r="28" spans="1:17" s="186" customFormat="1" ht="14.25" x14ac:dyDescent="0.2">
      <c r="A28" s="137" t="s">
        <v>35</v>
      </c>
      <c r="B28" s="137" t="s">
        <v>36</v>
      </c>
      <c r="C28" s="202"/>
      <c r="D28" s="201">
        <v>35837.530999999399</v>
      </c>
      <c r="E28" s="166">
        <f>E29+E30+E31+E32+E33+E34</f>
        <v>3821585.6729000001</v>
      </c>
      <c r="F28" s="166">
        <f>F29+F30+F31+F32+F33+F34</f>
        <v>3892073.3692000001</v>
      </c>
      <c r="G28" s="166">
        <f>E28</f>
        <v>3821585.6729000001</v>
      </c>
      <c r="H28" s="165">
        <f>D28+F28-G28</f>
        <v>106325.22729999945</v>
      </c>
      <c r="I28" s="166">
        <f>SUM(I29:I34)</f>
        <v>70487.696299999909</v>
      </c>
      <c r="O28" s="234"/>
    </row>
    <row r="29" spans="1:17" s="48" customFormat="1" x14ac:dyDescent="0.25">
      <c r="A29" s="9" t="s">
        <v>37</v>
      </c>
      <c r="B29" s="9" t="s">
        <v>181</v>
      </c>
      <c r="C29" s="235" t="s">
        <v>375</v>
      </c>
      <c r="D29" s="92">
        <v>-74694.820000000065</v>
      </c>
      <c r="E29" s="76">
        <v>707258.48</v>
      </c>
      <c r="F29" s="76">
        <v>737778.46</v>
      </c>
      <c r="G29" s="76">
        <f t="shared" ref="G29:G34" si="4">E29</f>
        <v>707258.48</v>
      </c>
      <c r="H29" s="81">
        <f t="shared" si="1"/>
        <v>-44174.840000000084</v>
      </c>
      <c r="I29" s="76">
        <f t="shared" ref="I29:I34" si="5">F29-E29</f>
        <v>30519.979999999981</v>
      </c>
    </row>
    <row r="30" spans="1:17" x14ac:dyDescent="0.25">
      <c r="A30" s="9" t="s">
        <v>39</v>
      </c>
      <c r="B30" s="9" t="s">
        <v>38</v>
      </c>
      <c r="C30" s="235" t="s">
        <v>376</v>
      </c>
      <c r="D30" s="69">
        <v>-20648.522499999992</v>
      </c>
      <c r="E30" s="68">
        <f>6239.53*44.83+0.04</f>
        <v>279718.16989999998</v>
      </c>
      <c r="F30" s="68">
        <f>6297.39*44.83-0.18</f>
        <v>282311.8137</v>
      </c>
      <c r="G30" s="68">
        <f t="shared" si="4"/>
        <v>279718.16989999998</v>
      </c>
      <c r="H30" s="81">
        <f t="shared" si="1"/>
        <v>-18054.878699999972</v>
      </c>
      <c r="I30" s="68">
        <f t="shared" si="5"/>
        <v>2593.6438000000198</v>
      </c>
      <c r="O30" s="77"/>
      <c r="P30" s="77"/>
      <c r="Q30" s="77"/>
    </row>
    <row r="31" spans="1:17" x14ac:dyDescent="0.25">
      <c r="A31" s="9" t="s">
        <v>42</v>
      </c>
      <c r="B31" s="9" t="s">
        <v>175</v>
      </c>
      <c r="C31" s="235" t="s">
        <v>377</v>
      </c>
      <c r="D31" s="69">
        <v>-14196.858500000002</v>
      </c>
      <c r="E31" s="68">
        <f>6239.53*18.23</f>
        <v>113746.63189999999</v>
      </c>
      <c r="F31" s="68">
        <f>6297.39*18.23</f>
        <v>114801.41970000001</v>
      </c>
      <c r="G31" s="68">
        <f t="shared" si="4"/>
        <v>113746.63189999999</v>
      </c>
      <c r="H31" s="81">
        <f t="shared" si="1"/>
        <v>-13142.070699999982</v>
      </c>
      <c r="I31" s="68">
        <f t="shared" si="5"/>
        <v>1054.7878000000201</v>
      </c>
      <c r="O31" s="77"/>
      <c r="P31" s="77"/>
      <c r="Q31" s="77"/>
    </row>
    <row r="32" spans="1:17" x14ac:dyDescent="0.25">
      <c r="A32" s="9" t="s">
        <v>41</v>
      </c>
      <c r="B32" s="9" t="s">
        <v>177</v>
      </c>
      <c r="C32" s="236" t="s">
        <v>396</v>
      </c>
      <c r="D32" s="69">
        <v>-3156.3818000000319</v>
      </c>
      <c r="E32" s="96">
        <f>3778.51*144.38-0.32</f>
        <v>545540.95380000002</v>
      </c>
      <c r="F32" s="68">
        <f>3841.78*144.38-0.75</f>
        <v>554675.44640000002</v>
      </c>
      <c r="G32" s="68">
        <f t="shared" si="4"/>
        <v>545540.95380000002</v>
      </c>
      <c r="H32" s="81">
        <f t="shared" si="1"/>
        <v>5978.1107999999076</v>
      </c>
      <c r="I32" s="68">
        <f t="shared" si="5"/>
        <v>9134.4925999999978</v>
      </c>
      <c r="O32" s="112"/>
      <c r="P32" s="77"/>
    </row>
    <row r="33" spans="1:16" x14ac:dyDescent="0.25">
      <c r="A33" s="9" t="s">
        <v>178</v>
      </c>
      <c r="B33" s="9" t="s">
        <v>176</v>
      </c>
      <c r="C33" s="236" t="s">
        <v>377</v>
      </c>
      <c r="D33" s="69">
        <v>-338.08620000000519</v>
      </c>
      <c r="E33" s="96">
        <f>3778.51*18.23</f>
        <v>68882.237300000008</v>
      </c>
      <c r="F33" s="68">
        <f>3841.78*18.23</f>
        <v>70035.649400000009</v>
      </c>
      <c r="G33" s="68">
        <f t="shared" si="4"/>
        <v>68882.237300000008</v>
      </c>
      <c r="H33" s="81">
        <f t="shared" si="1"/>
        <v>815.32589999999618</v>
      </c>
      <c r="I33" s="68">
        <f t="shared" si="5"/>
        <v>1153.4121000000014</v>
      </c>
      <c r="O33" s="77"/>
      <c r="P33" s="77"/>
    </row>
    <row r="34" spans="1:16" x14ac:dyDescent="0.25">
      <c r="A34" s="9" t="s">
        <v>179</v>
      </c>
      <c r="B34" s="9" t="s">
        <v>43</v>
      </c>
      <c r="C34" s="236" t="s">
        <v>378</v>
      </c>
      <c r="D34" s="69">
        <v>148872.20000000019</v>
      </c>
      <c r="E34" s="68">
        <v>2106439.2000000002</v>
      </c>
      <c r="F34" s="68">
        <v>2132470.58</v>
      </c>
      <c r="G34" s="68">
        <f t="shared" si="4"/>
        <v>2106439.2000000002</v>
      </c>
      <c r="H34" s="81">
        <f>D34+F34-G34</f>
        <v>174903.58000000007</v>
      </c>
      <c r="I34" s="68">
        <f t="shared" si="5"/>
        <v>26031.379999999888</v>
      </c>
      <c r="O34" s="77"/>
    </row>
    <row r="35" spans="1:16" s="20" customFormat="1" ht="14.25" thickBot="1" x14ac:dyDescent="0.3">
      <c r="A35" s="78"/>
      <c r="B35" s="21"/>
      <c r="C35" s="21"/>
      <c r="D35" s="21"/>
      <c r="E35" s="22"/>
      <c r="F35" s="22"/>
      <c r="G35" s="22"/>
      <c r="H35" s="82"/>
      <c r="I35" s="22"/>
      <c r="J35" s="22"/>
      <c r="K35" s="22"/>
      <c r="L35" s="22"/>
    </row>
    <row r="36" spans="1:16" s="15" customFormat="1" ht="15.75" thickBot="1" x14ac:dyDescent="0.3">
      <c r="A36" s="287" t="s">
        <v>241</v>
      </c>
      <c r="B36" s="288"/>
      <c r="C36" s="288"/>
      <c r="D36" s="43"/>
      <c r="E36" s="73">
        <f>E13+E18+E23+E24+E25+E26+E27+E28-F18-F23-F24-F25-F26-F27-F28</f>
        <v>566640.92370000063</v>
      </c>
      <c r="F36" s="39"/>
      <c r="G36" s="39"/>
      <c r="H36" s="83"/>
      <c r="I36" s="39"/>
      <c r="J36" s="40"/>
      <c r="K36" s="40"/>
    </row>
    <row r="37" spans="1:16" s="15" customFormat="1" ht="6.75" customHeight="1" thickBot="1" x14ac:dyDescent="0.3">
      <c r="A37" s="41"/>
      <c r="B37" s="41"/>
      <c r="C37" s="41"/>
      <c r="D37" s="41"/>
      <c r="E37" s="42"/>
      <c r="F37" s="39"/>
      <c r="G37" s="39"/>
      <c r="H37" s="83"/>
      <c r="I37" s="39"/>
      <c r="J37" s="40"/>
      <c r="K37" s="40"/>
    </row>
    <row r="38" spans="1:16" s="15" customFormat="1" ht="15.75" thickBot="1" x14ac:dyDescent="0.3">
      <c r="A38" s="87" t="s">
        <v>243</v>
      </c>
      <c r="B38" s="43"/>
      <c r="C38" s="43"/>
      <c r="D38" s="43"/>
      <c r="E38" s="44"/>
      <c r="F38" s="45"/>
      <c r="G38" s="45"/>
      <c r="H38" s="84"/>
      <c r="I38" s="38">
        <f>H26</f>
        <v>200962.49910000002</v>
      </c>
      <c r="J38" s="40"/>
      <c r="K38" s="40"/>
    </row>
    <row r="39" spans="1:16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  <c r="J39" s="340"/>
      <c r="K39" s="340"/>
    </row>
    <row r="41" spans="1:16" s="7" customFormat="1" ht="28.5" x14ac:dyDescent="0.25">
      <c r="A41" s="5" t="s">
        <v>11</v>
      </c>
      <c r="B41" s="306" t="s">
        <v>45</v>
      </c>
      <c r="C41" s="367"/>
      <c r="D41" s="307"/>
      <c r="E41" s="5" t="s">
        <v>254</v>
      </c>
      <c r="F41" s="5" t="s">
        <v>253</v>
      </c>
      <c r="G41" s="306" t="s">
        <v>46</v>
      </c>
      <c r="H41" s="367"/>
      <c r="I41" s="312"/>
    </row>
    <row r="42" spans="1:16" s="12" customFormat="1" x14ac:dyDescent="0.25">
      <c r="A42" s="11" t="s">
        <v>47</v>
      </c>
      <c r="B42" s="308" t="s">
        <v>127</v>
      </c>
      <c r="C42" s="368"/>
      <c r="D42" s="309"/>
      <c r="E42" s="194"/>
      <c r="F42" s="194"/>
      <c r="G42" s="316">
        <f>SUM(G43:I58)</f>
        <v>39021.667299999994</v>
      </c>
      <c r="H42" s="366"/>
      <c r="I42" s="312"/>
    </row>
    <row r="43" spans="1:16" x14ac:dyDescent="0.25">
      <c r="A43" s="9" t="s">
        <v>16</v>
      </c>
      <c r="B43" s="298" t="s">
        <v>379</v>
      </c>
      <c r="C43" s="359"/>
      <c r="D43" s="299"/>
      <c r="E43" s="193" t="s">
        <v>255</v>
      </c>
      <c r="F43" s="193">
        <v>10</v>
      </c>
      <c r="G43" s="315">
        <v>5573.74</v>
      </c>
      <c r="H43" s="315"/>
      <c r="I43" s="315"/>
    </row>
    <row r="44" spans="1:16" x14ac:dyDescent="0.25">
      <c r="A44" s="9" t="s">
        <v>18</v>
      </c>
      <c r="B44" s="298" t="s">
        <v>380</v>
      </c>
      <c r="C44" s="359"/>
      <c r="D44" s="299"/>
      <c r="E44" s="193" t="s">
        <v>262</v>
      </c>
      <c r="F44" s="193">
        <v>5</v>
      </c>
      <c r="G44" s="315">
        <v>62.9</v>
      </c>
      <c r="H44" s="315"/>
      <c r="I44" s="315"/>
    </row>
    <row r="45" spans="1:16" ht="15" customHeight="1" x14ac:dyDescent="0.25">
      <c r="A45" s="9" t="s">
        <v>20</v>
      </c>
      <c r="B45" s="298" t="s">
        <v>381</v>
      </c>
      <c r="C45" s="359"/>
      <c r="D45" s="299"/>
      <c r="E45" s="193" t="s">
        <v>382</v>
      </c>
      <c r="F45" s="193">
        <v>10</v>
      </c>
      <c r="G45" s="329">
        <v>146.19999999999999</v>
      </c>
      <c r="H45" s="365"/>
      <c r="I45" s="330"/>
    </row>
    <row r="46" spans="1:16" x14ac:dyDescent="0.25">
      <c r="A46" s="9" t="s">
        <v>22</v>
      </c>
      <c r="B46" s="298" t="s">
        <v>383</v>
      </c>
      <c r="C46" s="359"/>
      <c r="D46" s="299"/>
      <c r="E46" s="193" t="s">
        <v>262</v>
      </c>
      <c r="F46" s="193">
        <v>4</v>
      </c>
      <c r="G46" s="315">
        <f>2*139.4</f>
        <v>278.8</v>
      </c>
      <c r="H46" s="315"/>
      <c r="I46" s="315"/>
    </row>
    <row r="47" spans="1:16" x14ac:dyDescent="0.25">
      <c r="A47" s="9" t="s">
        <v>24</v>
      </c>
      <c r="B47" s="298" t="s">
        <v>384</v>
      </c>
      <c r="C47" s="359"/>
      <c r="D47" s="299"/>
      <c r="E47" s="193" t="s">
        <v>262</v>
      </c>
      <c r="F47" s="193">
        <v>2</v>
      </c>
      <c r="G47" s="315">
        <v>453.9</v>
      </c>
      <c r="H47" s="315"/>
      <c r="I47" s="315"/>
    </row>
    <row r="48" spans="1:16" x14ac:dyDescent="0.25">
      <c r="A48" s="9" t="s">
        <v>117</v>
      </c>
      <c r="B48" s="298" t="s">
        <v>385</v>
      </c>
      <c r="C48" s="359"/>
      <c r="D48" s="299"/>
      <c r="E48" s="193" t="s">
        <v>262</v>
      </c>
      <c r="F48" s="193">
        <v>1</v>
      </c>
      <c r="G48" s="315">
        <v>1092.21</v>
      </c>
      <c r="H48" s="315"/>
      <c r="I48" s="315"/>
    </row>
    <row r="49" spans="1:9" x14ac:dyDescent="0.25">
      <c r="A49" s="9" t="s">
        <v>118</v>
      </c>
      <c r="B49" s="298" t="s">
        <v>386</v>
      </c>
      <c r="C49" s="359"/>
      <c r="D49" s="299"/>
      <c r="E49" s="193" t="s">
        <v>262</v>
      </c>
      <c r="F49" s="193">
        <v>1</v>
      </c>
      <c r="G49" s="315">
        <v>328.1</v>
      </c>
      <c r="H49" s="315"/>
      <c r="I49" s="315"/>
    </row>
    <row r="50" spans="1:9" x14ac:dyDescent="0.25">
      <c r="A50" s="9" t="s">
        <v>133</v>
      </c>
      <c r="B50" s="298" t="s">
        <v>387</v>
      </c>
      <c r="C50" s="359"/>
      <c r="D50" s="299"/>
      <c r="E50" s="193" t="s">
        <v>262</v>
      </c>
      <c r="F50" s="193">
        <v>1</v>
      </c>
      <c r="G50" s="315">
        <v>1700.85</v>
      </c>
      <c r="H50" s="315"/>
      <c r="I50" s="315"/>
    </row>
    <row r="51" spans="1:9" ht="15" customHeight="1" x14ac:dyDescent="0.25">
      <c r="A51" s="9" t="s">
        <v>134</v>
      </c>
      <c r="B51" s="298" t="s">
        <v>388</v>
      </c>
      <c r="C51" s="359"/>
      <c r="D51" s="299"/>
      <c r="E51" s="193" t="s">
        <v>262</v>
      </c>
      <c r="F51" s="193">
        <v>1</v>
      </c>
      <c r="G51" s="329">
        <v>591.85</v>
      </c>
      <c r="H51" s="365"/>
      <c r="I51" s="330"/>
    </row>
    <row r="52" spans="1:9" ht="13.5" customHeight="1" x14ac:dyDescent="0.25">
      <c r="A52" s="9" t="s">
        <v>135</v>
      </c>
      <c r="B52" s="298" t="s">
        <v>389</v>
      </c>
      <c r="C52" s="359"/>
      <c r="D52" s="299"/>
      <c r="E52" s="193"/>
      <c r="F52" s="193"/>
      <c r="G52" s="329">
        <v>4300</v>
      </c>
      <c r="H52" s="365"/>
      <c r="I52" s="330"/>
    </row>
    <row r="53" spans="1:9" ht="13.5" customHeight="1" x14ac:dyDescent="0.25">
      <c r="A53" s="9" t="s">
        <v>174</v>
      </c>
      <c r="B53" s="298" t="s">
        <v>390</v>
      </c>
      <c r="C53" s="359"/>
      <c r="D53" s="299"/>
      <c r="E53" s="193" t="s">
        <v>262</v>
      </c>
      <c r="F53" s="193">
        <v>3</v>
      </c>
      <c r="G53" s="329">
        <v>12204</v>
      </c>
      <c r="H53" s="365"/>
      <c r="I53" s="330"/>
    </row>
    <row r="54" spans="1:9" ht="13.5" customHeight="1" x14ac:dyDescent="0.25">
      <c r="A54" s="9" t="s">
        <v>198</v>
      </c>
      <c r="B54" s="298" t="s">
        <v>391</v>
      </c>
      <c r="C54" s="359"/>
      <c r="D54" s="299"/>
      <c r="E54" s="193" t="s">
        <v>262</v>
      </c>
      <c r="F54" s="193">
        <v>4</v>
      </c>
      <c r="G54" s="329">
        <v>990.79</v>
      </c>
      <c r="H54" s="365"/>
      <c r="I54" s="330"/>
    </row>
    <row r="55" spans="1:9" ht="13.5" customHeight="1" x14ac:dyDescent="0.25">
      <c r="A55" s="9" t="s">
        <v>199</v>
      </c>
      <c r="B55" s="298" t="s">
        <v>392</v>
      </c>
      <c r="C55" s="359"/>
      <c r="D55" s="299"/>
      <c r="E55" s="193" t="s">
        <v>262</v>
      </c>
      <c r="F55" s="193">
        <v>4</v>
      </c>
      <c r="G55" s="329">
        <v>2665</v>
      </c>
      <c r="H55" s="365"/>
      <c r="I55" s="330"/>
    </row>
    <row r="56" spans="1:9" ht="13.5" customHeight="1" x14ac:dyDescent="0.25">
      <c r="A56" s="9" t="s">
        <v>200</v>
      </c>
      <c r="B56" s="298" t="s">
        <v>535</v>
      </c>
      <c r="C56" s="359"/>
      <c r="D56" s="299"/>
      <c r="E56" s="193" t="s">
        <v>262</v>
      </c>
      <c r="F56" s="193">
        <v>1</v>
      </c>
      <c r="G56" s="329">
        <v>5000</v>
      </c>
      <c r="H56" s="365"/>
      <c r="I56" s="330"/>
    </row>
    <row r="57" spans="1:9" ht="13.5" customHeight="1" x14ac:dyDescent="0.25">
      <c r="A57" s="9" t="s">
        <v>201</v>
      </c>
      <c r="B57" s="298" t="s">
        <v>536</v>
      </c>
      <c r="C57" s="359"/>
      <c r="D57" s="299"/>
      <c r="E57" s="193" t="s">
        <v>262</v>
      </c>
      <c r="F57" s="193"/>
      <c r="G57" s="329">
        <v>2000</v>
      </c>
      <c r="H57" s="365"/>
      <c r="I57" s="330"/>
    </row>
    <row r="58" spans="1:9" s="48" customFormat="1" ht="15" customHeight="1" x14ac:dyDescent="0.25">
      <c r="A58" s="9" t="s">
        <v>534</v>
      </c>
      <c r="B58" s="327" t="s">
        <v>533</v>
      </c>
      <c r="C58" s="363"/>
      <c r="D58" s="364"/>
      <c r="E58" s="212"/>
      <c r="F58" s="212"/>
      <c r="G58" s="317">
        <f>F26*1%</f>
        <v>1633.3273000000002</v>
      </c>
      <c r="H58" s="317"/>
      <c r="I58" s="317"/>
    </row>
    <row r="59" spans="1:9" s="48" customFormat="1" x14ac:dyDescent="0.25">
      <c r="A59" s="50"/>
      <c r="B59" s="51"/>
      <c r="C59" s="51"/>
      <c r="D59" s="51"/>
      <c r="E59" s="51"/>
      <c r="F59" s="51"/>
      <c r="G59" s="52"/>
      <c r="H59" s="75"/>
      <c r="I59" s="52"/>
    </row>
    <row r="60" spans="1:9" s="3" customFormat="1" x14ac:dyDescent="0.25">
      <c r="H60" s="15"/>
    </row>
    <row r="61" spans="1:9" s="3" customFormat="1" x14ac:dyDescent="0.25">
      <c r="A61" s="3" t="s">
        <v>55</v>
      </c>
      <c r="C61" s="3" t="s">
        <v>49</v>
      </c>
      <c r="G61" s="3" t="s">
        <v>102</v>
      </c>
      <c r="H61" s="15"/>
    </row>
    <row r="62" spans="1:9" s="3" customFormat="1" x14ac:dyDescent="0.25">
      <c r="G62" s="4" t="s">
        <v>265</v>
      </c>
      <c r="H62" s="4"/>
    </row>
    <row r="63" spans="1:9" s="3" customFormat="1" x14ac:dyDescent="0.25">
      <c r="A63" s="3" t="s">
        <v>50</v>
      </c>
      <c r="H63" s="15"/>
    </row>
    <row r="64" spans="1:9" s="3" customFormat="1" x14ac:dyDescent="0.25">
      <c r="C64" s="14" t="s">
        <v>51</v>
      </c>
      <c r="D64" s="14"/>
      <c r="F64" s="14"/>
      <c r="G64" s="14"/>
      <c r="H64" s="85"/>
      <c r="I64" s="14"/>
    </row>
    <row r="65" s="3" customFormat="1" x14ac:dyDescent="0.25"/>
    <row r="66" s="3" customFormat="1" x14ac:dyDescent="0.25"/>
  </sheetData>
  <mergeCells count="46">
    <mergeCell ref="G46:I46"/>
    <mergeCell ref="B46:D46"/>
    <mergeCell ref="G47:I47"/>
    <mergeCell ref="G48:I48"/>
    <mergeCell ref="G49:I49"/>
    <mergeCell ref="B45:D45"/>
    <mergeCell ref="B47:D47"/>
    <mergeCell ref="B48:D48"/>
    <mergeCell ref="B49:D49"/>
    <mergeCell ref="B50:D50"/>
    <mergeCell ref="G52:I52"/>
    <mergeCell ref="G50:I50"/>
    <mergeCell ref="G51:I51"/>
    <mergeCell ref="A36:C36"/>
    <mergeCell ref="A39:K39"/>
    <mergeCell ref="G42:I42"/>
    <mergeCell ref="G41:I41"/>
    <mergeCell ref="B41:D41"/>
    <mergeCell ref="B42:D42"/>
    <mergeCell ref="B52:D52"/>
    <mergeCell ref="B51:D51"/>
    <mergeCell ref="G43:I43"/>
    <mergeCell ref="G44:I44"/>
    <mergeCell ref="G45:I45"/>
    <mergeCell ref="B43:D43"/>
    <mergeCell ref="B44:D44"/>
    <mergeCell ref="A12:K12"/>
    <mergeCell ref="A13:C13"/>
    <mergeCell ref="A11:K11"/>
    <mergeCell ref="A1:K1"/>
    <mergeCell ref="A2:K2"/>
    <mergeCell ref="A3:M3"/>
    <mergeCell ref="A5:K5"/>
    <mergeCell ref="A10:K10"/>
    <mergeCell ref="B58:D58"/>
    <mergeCell ref="B53:D53"/>
    <mergeCell ref="G53:I53"/>
    <mergeCell ref="B54:D54"/>
    <mergeCell ref="G54:I54"/>
    <mergeCell ref="B55:D55"/>
    <mergeCell ref="G55:I55"/>
    <mergeCell ref="G58:I58"/>
    <mergeCell ref="B56:D56"/>
    <mergeCell ref="G56:I56"/>
    <mergeCell ref="B57:D57"/>
    <mergeCell ref="G57:I57"/>
  </mergeCells>
  <phoneticPr fontId="18" type="noConversion"/>
  <pageMargins left="0.7" right="0.7" top="0.75" bottom="0.75" header="0.3" footer="0.3"/>
  <pageSetup paperSize="9" scale="68" orientation="portrait" verticalDpi="0" r:id="rId1"/>
  <colBreaks count="1" manualBreakCount="1">
    <brk id="9" max="52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>
      <selection activeCell="D36" sqref="D36"/>
    </sheetView>
  </sheetViews>
  <sheetFormatPr defaultRowHeight="15" outlineLevelCol="1" x14ac:dyDescent="0.25"/>
  <cols>
    <col min="1" max="1" width="6.140625" style="1" customWidth="1"/>
    <col min="2" max="2" width="46" style="1" customWidth="1"/>
    <col min="3" max="3" width="13.5703125" style="1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11.85546875" customWidth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x14ac:dyDescent="0.25">
      <c r="A7" s="3" t="s">
        <v>2</v>
      </c>
      <c r="F7" s="4" t="s">
        <v>162</v>
      </c>
    </row>
    <row r="8" spans="1:11" s="3" customFormat="1" x14ac:dyDescent="0.25">
      <c r="A8" s="3" t="s">
        <v>3</v>
      </c>
      <c r="F8" s="4" t="s">
        <v>163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5.75" thickBot="1" x14ac:dyDescent="0.3">
      <c r="A13" s="287" t="s">
        <v>240</v>
      </c>
      <c r="B13" s="288"/>
      <c r="C13" s="288"/>
      <c r="D13" s="73">
        <v>1049933.3999999999</v>
      </c>
      <c r="E13" s="39"/>
      <c r="F13" s="39"/>
      <c r="G13" s="39"/>
      <c r="H13" s="40"/>
      <c r="I13" s="40"/>
    </row>
    <row r="14" spans="1:11" s="15" customFormat="1" ht="15.75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231" t="s">
        <v>243</v>
      </c>
      <c r="B15" s="232"/>
      <c r="C15" s="232"/>
      <c r="D15" s="44"/>
      <c r="E15" s="45"/>
      <c r="F15" s="45"/>
      <c r="G15" s="38">
        <v>149264.19</v>
      </c>
      <c r="H15" s="40"/>
      <c r="I15" s="40"/>
    </row>
    <row r="16" spans="1:11" s="3" customFormat="1" x14ac:dyDescent="0.25"/>
    <row r="17" spans="1:13" s="18" customFormat="1" ht="38.25" x14ac:dyDescent="0.25">
      <c r="A17" s="6" t="s">
        <v>11</v>
      </c>
      <c r="B17" s="6" t="s">
        <v>12</v>
      </c>
      <c r="C17" s="6" t="s">
        <v>103</v>
      </c>
      <c r="D17" s="6" t="s">
        <v>393</v>
      </c>
      <c r="E17" s="6" t="s">
        <v>249</v>
      </c>
      <c r="F17" s="17" t="s">
        <v>250</v>
      </c>
      <c r="G17" s="6" t="s">
        <v>394</v>
      </c>
    </row>
    <row r="18" spans="1:13" s="190" customFormat="1" ht="28.5" x14ac:dyDescent="0.2">
      <c r="A18" s="187" t="s">
        <v>14</v>
      </c>
      <c r="B18" s="137" t="s">
        <v>15</v>
      </c>
      <c r="C18" s="201">
        <f>SUM(C19:C22)</f>
        <v>12.19</v>
      </c>
      <c r="D18" s="165">
        <f>1426244.88+775928.64</f>
        <v>2202173.52</v>
      </c>
      <c r="E18" s="165">
        <f>756723.13+1367585.62</f>
        <v>2124308.75</v>
      </c>
      <c r="F18" s="165">
        <f t="shared" ref="F18:F25" si="0">D18</f>
        <v>2202173.52</v>
      </c>
      <c r="G18" s="166">
        <f>E18-D18</f>
        <v>-77864.770000000019</v>
      </c>
      <c r="H18" s="70">
        <f>C18</f>
        <v>12.19</v>
      </c>
    </row>
    <row r="19" spans="1:13" s="3" customFormat="1" x14ac:dyDescent="0.25">
      <c r="A19" s="8" t="s">
        <v>16</v>
      </c>
      <c r="B19" s="9" t="s">
        <v>17</v>
      </c>
      <c r="C19" s="69">
        <v>3.08</v>
      </c>
      <c r="D19" s="67">
        <f>D18*I19</f>
        <v>556414.63835931104</v>
      </c>
      <c r="E19" s="67">
        <f>E18*I19</f>
        <v>536740.84905660385</v>
      </c>
      <c r="F19" s="67">
        <f t="shared" si="0"/>
        <v>556414.63835931104</v>
      </c>
      <c r="G19" s="68">
        <f t="shared" ref="G19:G27" si="1">E19-D19</f>
        <v>-19673.789302707184</v>
      </c>
      <c r="H19" s="70">
        <f t="shared" ref="H19:H22" si="2">C19</f>
        <v>3.08</v>
      </c>
      <c r="I19" s="15">
        <f>H19/H18</f>
        <v>0.25266611977030357</v>
      </c>
    </row>
    <row r="20" spans="1:13" s="3" customFormat="1" x14ac:dyDescent="0.25">
      <c r="A20" s="8" t="s">
        <v>18</v>
      </c>
      <c r="B20" s="9" t="s">
        <v>19</v>
      </c>
      <c r="C20" s="69">
        <v>4.7</v>
      </c>
      <c r="D20" s="67">
        <f>D18*I20</f>
        <v>849074.28580803948</v>
      </c>
      <c r="E20" s="67">
        <f>E18*I20</f>
        <v>819052.59433962277</v>
      </c>
      <c r="F20" s="67">
        <f t="shared" si="0"/>
        <v>849074.28580803948</v>
      </c>
      <c r="G20" s="68">
        <f t="shared" si="1"/>
        <v>-30021.691468416713</v>
      </c>
      <c r="H20" s="70">
        <f t="shared" si="2"/>
        <v>4.7</v>
      </c>
      <c r="I20" s="15">
        <f>H20/H18</f>
        <v>0.38556193601312555</v>
      </c>
    </row>
    <row r="21" spans="1:13" s="3" customFormat="1" x14ac:dyDescent="0.25">
      <c r="A21" s="8" t="s">
        <v>20</v>
      </c>
      <c r="B21" s="9" t="s">
        <v>21</v>
      </c>
      <c r="C21" s="69">
        <v>1.81</v>
      </c>
      <c r="D21" s="67">
        <f>D18*I21</f>
        <v>326983.92708777689</v>
      </c>
      <c r="E21" s="67">
        <f>E18*I21</f>
        <v>315422.38207547175</v>
      </c>
      <c r="F21" s="67">
        <f t="shared" si="0"/>
        <v>326983.92708777689</v>
      </c>
      <c r="G21" s="68">
        <f t="shared" si="1"/>
        <v>-11561.545012305141</v>
      </c>
      <c r="H21" s="70">
        <f t="shared" si="2"/>
        <v>1.81</v>
      </c>
      <c r="I21" s="15">
        <f>H21/H18</f>
        <v>0.14848236259228878</v>
      </c>
    </row>
    <row r="22" spans="1:13" s="3" customFormat="1" x14ac:dyDescent="0.25">
      <c r="A22" s="8" t="s">
        <v>22</v>
      </c>
      <c r="B22" s="9" t="s">
        <v>23</v>
      </c>
      <c r="C22" s="69">
        <v>2.6</v>
      </c>
      <c r="D22" s="67">
        <f>D18*I22</f>
        <v>469700.66874487291</v>
      </c>
      <c r="E22" s="67">
        <f>E18*I22</f>
        <v>453092.92452830193</v>
      </c>
      <c r="F22" s="67">
        <f t="shared" si="0"/>
        <v>469700.66874487291</v>
      </c>
      <c r="G22" s="68">
        <f t="shared" si="1"/>
        <v>-16607.74421657098</v>
      </c>
      <c r="H22" s="70">
        <f t="shared" si="2"/>
        <v>2.6</v>
      </c>
      <c r="I22" s="15">
        <f>H22/H18</f>
        <v>0.21328958162428222</v>
      </c>
    </row>
    <row r="23" spans="1:13" s="186" customFormat="1" x14ac:dyDescent="0.25">
      <c r="A23" s="137" t="s">
        <v>25</v>
      </c>
      <c r="B23" s="137" t="s">
        <v>26</v>
      </c>
      <c r="C23" s="201">
        <v>3.43</v>
      </c>
      <c r="D23" s="166">
        <f>404822.7+221616.84</f>
        <v>626439.54</v>
      </c>
      <c r="E23" s="166">
        <f>217771.49+403902.45</f>
        <v>621673.93999999994</v>
      </c>
      <c r="F23" s="165">
        <f t="shared" si="0"/>
        <v>626439.54</v>
      </c>
      <c r="G23" s="166">
        <f t="shared" si="1"/>
        <v>-4765.6000000000931</v>
      </c>
      <c r="M23" s="238"/>
    </row>
    <row r="24" spans="1:13" s="186" customFormat="1" x14ac:dyDescent="0.25">
      <c r="A24" s="137" t="s">
        <v>27</v>
      </c>
      <c r="B24" s="137" t="s">
        <v>28</v>
      </c>
      <c r="C24" s="201">
        <v>4.5999999999999996</v>
      </c>
      <c r="D24" s="166">
        <f>544007.04+303130.8</f>
        <v>847137.84000000008</v>
      </c>
      <c r="E24" s="166">
        <f>296574.68+540484.21</f>
        <v>837058.8899999999</v>
      </c>
      <c r="F24" s="166">
        <f t="shared" si="0"/>
        <v>847137.84000000008</v>
      </c>
      <c r="G24" s="166">
        <f t="shared" si="1"/>
        <v>-10078.950000000186</v>
      </c>
      <c r="M24" s="238"/>
    </row>
    <row r="25" spans="1:13" s="186" customFormat="1" x14ac:dyDescent="0.25">
      <c r="A25" s="137" t="s">
        <v>29</v>
      </c>
      <c r="B25" s="137" t="s">
        <v>248</v>
      </c>
      <c r="C25" s="201">
        <v>1755.25</v>
      </c>
      <c r="D25" s="166">
        <f>11533.86+10901.95</f>
        <v>22435.81</v>
      </c>
      <c r="E25" s="166">
        <f>10761.6+11338.08</f>
        <v>22099.68</v>
      </c>
      <c r="F25" s="166">
        <f t="shared" si="0"/>
        <v>22435.81</v>
      </c>
      <c r="G25" s="166">
        <f t="shared" si="1"/>
        <v>-336.13000000000102</v>
      </c>
      <c r="M25" s="238"/>
    </row>
    <row r="26" spans="1:13" s="186" customFormat="1" x14ac:dyDescent="0.25">
      <c r="A26" s="137" t="s">
        <v>31</v>
      </c>
      <c r="B26" s="137" t="s">
        <v>132</v>
      </c>
      <c r="C26" s="201">
        <v>1.82</v>
      </c>
      <c r="D26" s="166">
        <f>215237.64+115848</f>
        <v>331085.64</v>
      </c>
      <c r="E26" s="166">
        <f>116189.85+216843.6</f>
        <v>333033.45</v>
      </c>
      <c r="F26" s="172">
        <f>G45</f>
        <v>99296.414499999984</v>
      </c>
      <c r="G26" s="166">
        <f t="shared" si="1"/>
        <v>1947.8099999999977</v>
      </c>
      <c r="M26" s="238"/>
    </row>
    <row r="27" spans="1:13" s="186" customFormat="1" x14ac:dyDescent="0.25">
      <c r="A27" s="137" t="s">
        <v>33</v>
      </c>
      <c r="B27" s="137" t="s">
        <v>34</v>
      </c>
      <c r="C27" s="202">
        <v>0</v>
      </c>
      <c r="D27" s="166">
        <v>0</v>
      </c>
      <c r="E27" s="166">
        <v>0</v>
      </c>
      <c r="F27" s="172">
        <v>0</v>
      </c>
      <c r="G27" s="166">
        <f t="shared" si="1"/>
        <v>0</v>
      </c>
      <c r="M27" s="238"/>
    </row>
    <row r="28" spans="1:13" s="186" customFormat="1" x14ac:dyDescent="0.25">
      <c r="A28" s="137" t="s">
        <v>35</v>
      </c>
      <c r="B28" s="137" t="s">
        <v>36</v>
      </c>
      <c r="C28" s="201">
        <f>SUM(C29:C32)</f>
        <v>0</v>
      </c>
      <c r="D28" s="166">
        <f>SUM(D29:D32)</f>
        <v>8587262.8399999999</v>
      </c>
      <c r="E28" s="166">
        <f>SUM(E29:E32)</f>
        <v>8729516.8900000006</v>
      </c>
      <c r="F28" s="166">
        <f>SUM(F29:F32)</f>
        <v>8587262.8399999999</v>
      </c>
      <c r="G28" s="166">
        <f>SUM(G29:G32)</f>
        <v>142254.05000000005</v>
      </c>
      <c r="M28" s="238"/>
    </row>
    <row r="29" spans="1:13" x14ac:dyDescent="0.25">
      <c r="A29" s="9" t="s">
        <v>37</v>
      </c>
      <c r="B29" s="9" t="s">
        <v>398</v>
      </c>
      <c r="C29" s="237" t="s">
        <v>397</v>
      </c>
      <c r="D29" s="68">
        <f>864364.76+1169817.81</f>
        <v>2034182.57</v>
      </c>
      <c r="E29" s="68">
        <f>910225.8+1188656.91</f>
        <v>2098882.71</v>
      </c>
      <c r="F29" s="68">
        <f>D29</f>
        <v>2034182.57</v>
      </c>
      <c r="G29" s="68">
        <f>E29-D29</f>
        <v>64700.139999999898</v>
      </c>
    </row>
    <row r="30" spans="1:13" x14ac:dyDescent="0.25">
      <c r="A30" s="9" t="s">
        <v>39</v>
      </c>
      <c r="B30" s="9" t="s">
        <v>171</v>
      </c>
      <c r="C30" s="237" t="s">
        <v>246</v>
      </c>
      <c r="D30" s="68">
        <f>577402.59+328376.1</f>
        <v>905778.69</v>
      </c>
      <c r="E30" s="68">
        <f>328722.39+591787.57</f>
        <v>920509.96</v>
      </c>
      <c r="F30" s="68">
        <f>D30</f>
        <v>905778.69</v>
      </c>
      <c r="G30" s="68">
        <f>E30-D30</f>
        <v>14731.270000000019</v>
      </c>
    </row>
    <row r="31" spans="1:13" x14ac:dyDescent="0.25">
      <c r="A31" s="9" t="s">
        <v>42</v>
      </c>
      <c r="B31" s="9" t="s">
        <v>173</v>
      </c>
      <c r="C31" s="236" t="s">
        <v>395</v>
      </c>
      <c r="D31" s="68">
        <f>850544.81+536860.43</f>
        <v>1387405.2400000002</v>
      </c>
      <c r="E31" s="68">
        <f>535302.64+911042.75</f>
        <v>1446345.3900000001</v>
      </c>
      <c r="F31" s="68">
        <f>D31</f>
        <v>1387405.2400000002</v>
      </c>
      <c r="G31" s="68">
        <f>E31-D31</f>
        <v>58940.149999999907</v>
      </c>
    </row>
    <row r="32" spans="1:13" x14ac:dyDescent="0.25">
      <c r="A32" s="9" t="s">
        <v>41</v>
      </c>
      <c r="B32" s="9" t="s">
        <v>43</v>
      </c>
      <c r="C32" s="236" t="s">
        <v>378</v>
      </c>
      <c r="D32" s="68">
        <f>2735580.44+1524315.9</f>
        <v>4259896.34</v>
      </c>
      <c r="E32" s="68">
        <f>1507181.33+2756597.5</f>
        <v>4263778.83</v>
      </c>
      <c r="F32" s="68">
        <f>D32</f>
        <v>4259896.34</v>
      </c>
      <c r="G32" s="68">
        <f>E32-D32</f>
        <v>3882.4900000002235</v>
      </c>
    </row>
    <row r="33" spans="1:10" x14ac:dyDescent="0.25">
      <c r="A33" s="98">
        <v>8</v>
      </c>
      <c r="B33" s="9" t="s">
        <v>236</v>
      </c>
      <c r="C33" s="135"/>
      <c r="D33" s="68">
        <f>3000+2400+3600+10800</f>
        <v>19800</v>
      </c>
      <c r="E33" s="68">
        <f>3000+2400+3600+10800</f>
        <v>19800</v>
      </c>
      <c r="F33" s="68">
        <v>0</v>
      </c>
      <c r="G33" s="68">
        <f>E33-D33</f>
        <v>0</v>
      </c>
    </row>
    <row r="34" spans="1:10" s="20" customFormat="1" ht="14.25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D13+D18+D23+D24+D25+D26+D27+D28-E18-E23-E24-E25-E26-E27-E28</f>
        <v>998776.99000000022</v>
      </c>
      <c r="E35" s="39"/>
      <c r="F35" s="39"/>
      <c r="G35" s="39"/>
      <c r="H35" s="40"/>
      <c r="I35" s="40"/>
    </row>
    <row r="36" spans="1:10" s="15" customFormat="1" ht="5.25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231" t="s">
        <v>243</v>
      </c>
      <c r="B37" s="139"/>
      <c r="C37" s="139"/>
      <c r="D37" s="44"/>
      <c r="E37" s="45"/>
      <c r="F37" s="45"/>
      <c r="G37" s="124">
        <f>G15+E26-F26</f>
        <v>383001.22550000006</v>
      </c>
      <c r="H37" s="40"/>
      <c r="I37" s="40"/>
    </row>
    <row r="38" spans="1:10" s="15" customFormat="1" ht="5.25" customHeight="1" x14ac:dyDescent="0.25">
      <c r="A38" s="41"/>
      <c r="B38" s="41"/>
      <c r="C38" s="41"/>
      <c r="D38" s="42"/>
      <c r="E38" s="39"/>
      <c r="F38" s="39"/>
      <c r="G38" s="42"/>
      <c r="H38" s="40"/>
      <c r="I38" s="40"/>
    </row>
    <row r="39" spans="1:10" s="15" customFormat="1" x14ac:dyDescent="0.25">
      <c r="A39" s="372" t="s">
        <v>206</v>
      </c>
      <c r="B39" s="372"/>
      <c r="C39" s="89"/>
      <c r="D39" s="90"/>
      <c r="E39" s="83"/>
      <c r="F39" s="83"/>
      <c r="G39" s="90"/>
      <c r="H39" s="40"/>
      <c r="I39" s="40"/>
    </row>
    <row r="40" spans="1:10" s="15" customFormat="1" x14ac:dyDescent="0.25">
      <c r="A40" s="373" t="s">
        <v>207</v>
      </c>
      <c r="B40" s="374"/>
      <c r="C40" s="117" t="s">
        <v>208</v>
      </c>
      <c r="D40" s="117" t="s">
        <v>209</v>
      </c>
      <c r="E40" s="118" t="s">
        <v>210</v>
      </c>
      <c r="F40" s="119" t="s">
        <v>211</v>
      </c>
      <c r="G40" s="118" t="s">
        <v>212</v>
      </c>
      <c r="H40" s="40"/>
      <c r="I40" s="40"/>
    </row>
    <row r="41" spans="1:10" s="15" customFormat="1" x14ac:dyDescent="0.25">
      <c r="A41" s="375"/>
      <c r="B41" s="376"/>
      <c r="C41" s="117">
        <v>1286.4000000000001</v>
      </c>
      <c r="D41" s="118">
        <v>14.21</v>
      </c>
      <c r="E41" s="119">
        <v>241342.33</v>
      </c>
      <c r="F41" s="119">
        <v>183904.5</v>
      </c>
      <c r="G41" s="118">
        <v>71949.53</v>
      </c>
      <c r="H41" s="40"/>
      <c r="I41" s="40"/>
    </row>
    <row r="42" spans="1:10" ht="35.25" customHeight="1" x14ac:dyDescent="0.25">
      <c r="A42" s="371" t="s">
        <v>44</v>
      </c>
      <c r="B42" s="371"/>
      <c r="C42" s="371"/>
      <c r="D42" s="371"/>
      <c r="E42" s="371"/>
      <c r="F42" s="371"/>
      <c r="G42" s="371"/>
      <c r="H42" s="371"/>
      <c r="I42" s="371"/>
    </row>
    <row r="44" spans="1:10" s="7" customFormat="1" ht="28.5" customHeight="1" x14ac:dyDescent="0.25">
      <c r="A44" s="5" t="s">
        <v>11</v>
      </c>
      <c r="B44" s="306" t="s">
        <v>45</v>
      </c>
      <c r="C44" s="367"/>
      <c r="D44" s="307"/>
      <c r="E44" s="5" t="s">
        <v>254</v>
      </c>
      <c r="F44" s="5" t="s">
        <v>253</v>
      </c>
      <c r="G44" s="369" t="s">
        <v>46</v>
      </c>
      <c r="H44" s="369"/>
      <c r="I44" s="370"/>
    </row>
    <row r="45" spans="1:10" s="12" customFormat="1" x14ac:dyDescent="0.25">
      <c r="A45" s="11" t="s">
        <v>47</v>
      </c>
      <c r="B45" s="308" t="s">
        <v>127</v>
      </c>
      <c r="C45" s="368"/>
      <c r="D45" s="309"/>
      <c r="E45" s="194"/>
      <c r="F45" s="194"/>
      <c r="G45" s="377">
        <f>SUM(G46:I59)</f>
        <v>99296.414499999984</v>
      </c>
      <c r="H45" s="377"/>
      <c r="I45" s="370"/>
    </row>
    <row r="46" spans="1:10" ht="15" customHeight="1" x14ac:dyDescent="0.25">
      <c r="A46" s="9" t="s">
        <v>16</v>
      </c>
      <c r="B46" s="298" t="s">
        <v>399</v>
      </c>
      <c r="C46" s="359"/>
      <c r="D46" s="299"/>
      <c r="E46" s="193" t="s">
        <v>262</v>
      </c>
      <c r="F46" s="193">
        <v>2</v>
      </c>
      <c r="G46" s="315">
        <v>39815.360000000001</v>
      </c>
      <c r="H46" s="315"/>
      <c r="I46" s="315"/>
    </row>
    <row r="47" spans="1:10" ht="15" customHeight="1" x14ac:dyDescent="0.25">
      <c r="A47" s="9" t="s">
        <v>18</v>
      </c>
      <c r="B47" s="298" t="s">
        <v>400</v>
      </c>
      <c r="C47" s="359"/>
      <c r="D47" s="299"/>
      <c r="E47" s="193" t="s">
        <v>262</v>
      </c>
      <c r="F47" s="193">
        <v>2</v>
      </c>
      <c r="G47" s="315">
        <v>1364</v>
      </c>
      <c r="H47" s="315"/>
      <c r="I47" s="315"/>
    </row>
    <row r="48" spans="1:10" ht="15" customHeight="1" x14ac:dyDescent="0.25">
      <c r="A48" s="9" t="s">
        <v>20</v>
      </c>
      <c r="B48" s="298" t="s">
        <v>401</v>
      </c>
      <c r="C48" s="359"/>
      <c r="D48" s="299"/>
      <c r="E48" s="193" t="s">
        <v>262</v>
      </c>
      <c r="F48" s="193">
        <v>5</v>
      </c>
      <c r="G48" s="315">
        <v>415</v>
      </c>
      <c r="H48" s="315"/>
      <c r="I48" s="315"/>
    </row>
    <row r="49" spans="1:9" x14ac:dyDescent="0.25">
      <c r="A49" s="9" t="s">
        <v>22</v>
      </c>
      <c r="B49" s="298" t="s">
        <v>402</v>
      </c>
      <c r="C49" s="359"/>
      <c r="D49" s="299"/>
      <c r="E49" s="193" t="s">
        <v>262</v>
      </c>
      <c r="F49" s="193">
        <v>1</v>
      </c>
      <c r="G49" s="315">
        <v>5704.78</v>
      </c>
      <c r="H49" s="315"/>
      <c r="I49" s="315"/>
    </row>
    <row r="50" spans="1:9" ht="15" customHeight="1" x14ac:dyDescent="0.25">
      <c r="A50" s="9" t="s">
        <v>24</v>
      </c>
      <c r="B50" s="298" t="s">
        <v>403</v>
      </c>
      <c r="C50" s="359"/>
      <c r="D50" s="299"/>
      <c r="E50" s="193" t="s">
        <v>262</v>
      </c>
      <c r="F50" s="193">
        <v>2</v>
      </c>
      <c r="G50" s="315">
        <v>2313.29</v>
      </c>
      <c r="H50" s="315"/>
      <c r="I50" s="315"/>
    </row>
    <row r="51" spans="1:9" ht="15" customHeight="1" x14ac:dyDescent="0.25">
      <c r="A51" s="9" t="s">
        <v>117</v>
      </c>
      <c r="B51" s="298" t="s">
        <v>404</v>
      </c>
      <c r="C51" s="359"/>
      <c r="D51" s="299"/>
      <c r="E51" s="193" t="s">
        <v>255</v>
      </c>
      <c r="F51" s="193">
        <v>1</v>
      </c>
      <c r="G51" s="315">
        <v>939</v>
      </c>
      <c r="H51" s="315"/>
      <c r="I51" s="315"/>
    </row>
    <row r="52" spans="1:9" ht="15" customHeight="1" x14ac:dyDescent="0.25">
      <c r="A52" s="9" t="s">
        <v>118</v>
      </c>
      <c r="B52" s="298" t="s">
        <v>405</v>
      </c>
      <c r="C52" s="359"/>
      <c r="D52" s="299"/>
      <c r="E52" s="193" t="s">
        <v>255</v>
      </c>
      <c r="F52" s="193">
        <v>1.75</v>
      </c>
      <c r="G52" s="315">
        <v>1853</v>
      </c>
      <c r="H52" s="315"/>
      <c r="I52" s="315"/>
    </row>
    <row r="53" spans="1:9" s="48" customFormat="1" ht="15" customHeight="1" x14ac:dyDescent="0.25">
      <c r="A53" s="9" t="s">
        <v>133</v>
      </c>
      <c r="B53" s="298" t="s">
        <v>406</v>
      </c>
      <c r="C53" s="359"/>
      <c r="D53" s="299"/>
      <c r="E53" s="193" t="s">
        <v>262</v>
      </c>
      <c r="F53" s="193">
        <v>5</v>
      </c>
      <c r="G53" s="315">
        <v>28106</v>
      </c>
      <c r="H53" s="315"/>
      <c r="I53" s="315"/>
    </row>
    <row r="54" spans="1:9" s="48" customFormat="1" x14ac:dyDescent="0.25">
      <c r="A54" s="9" t="s">
        <v>134</v>
      </c>
      <c r="B54" s="298" t="s">
        <v>407</v>
      </c>
      <c r="C54" s="359"/>
      <c r="D54" s="299"/>
      <c r="E54" s="193" t="s">
        <v>262</v>
      </c>
      <c r="F54" s="193">
        <v>5</v>
      </c>
      <c r="G54" s="315">
        <v>1935</v>
      </c>
      <c r="H54" s="315"/>
      <c r="I54" s="315"/>
    </row>
    <row r="55" spans="1:9" s="3" customFormat="1" x14ac:dyDescent="0.25">
      <c r="A55" s="9" t="s">
        <v>135</v>
      </c>
      <c r="B55" s="298" t="s">
        <v>408</v>
      </c>
      <c r="C55" s="359"/>
      <c r="D55" s="299"/>
      <c r="E55" s="193" t="s">
        <v>262</v>
      </c>
      <c r="F55" s="193">
        <v>4</v>
      </c>
      <c r="G55" s="315">
        <v>1779</v>
      </c>
      <c r="H55" s="315"/>
      <c r="I55" s="315"/>
    </row>
    <row r="56" spans="1:9" s="3" customFormat="1" x14ac:dyDescent="0.25">
      <c r="A56" s="9" t="s">
        <v>174</v>
      </c>
      <c r="B56" s="321" t="s">
        <v>409</v>
      </c>
      <c r="C56" s="378"/>
      <c r="D56" s="322"/>
      <c r="E56" s="193" t="s">
        <v>262</v>
      </c>
      <c r="F56" s="193">
        <v>3</v>
      </c>
      <c r="G56" s="315">
        <v>737</v>
      </c>
      <c r="H56" s="315"/>
      <c r="I56" s="315"/>
    </row>
    <row r="57" spans="1:9" s="3" customFormat="1" x14ac:dyDescent="0.25">
      <c r="A57" s="9" t="s">
        <v>198</v>
      </c>
      <c r="B57" s="298" t="s">
        <v>410</v>
      </c>
      <c r="C57" s="359"/>
      <c r="D57" s="299"/>
      <c r="E57" s="193" t="s">
        <v>262</v>
      </c>
      <c r="F57" s="193">
        <v>2</v>
      </c>
      <c r="G57" s="315">
        <v>8097</v>
      </c>
      <c r="H57" s="315"/>
      <c r="I57" s="315"/>
    </row>
    <row r="58" spans="1:9" s="3" customFormat="1" x14ac:dyDescent="0.25">
      <c r="A58" s="9" t="s">
        <v>199</v>
      </c>
      <c r="B58" s="298" t="s">
        <v>546</v>
      </c>
      <c r="C58" s="359"/>
      <c r="D58" s="299"/>
      <c r="E58" s="193" t="s">
        <v>262</v>
      </c>
      <c r="F58" s="193"/>
      <c r="G58" s="315">
        <v>2907.65</v>
      </c>
      <c r="H58" s="315"/>
      <c r="I58" s="315"/>
    </row>
    <row r="59" spans="1:9" s="3" customFormat="1" x14ac:dyDescent="0.25">
      <c r="A59" s="9" t="s">
        <v>200</v>
      </c>
      <c r="B59" s="327" t="s">
        <v>533</v>
      </c>
      <c r="C59" s="363"/>
      <c r="D59" s="364"/>
      <c r="E59" s="212"/>
      <c r="F59" s="212"/>
      <c r="G59" s="317">
        <f>E26*1%</f>
        <v>3330.3345000000004</v>
      </c>
      <c r="H59" s="317"/>
      <c r="I59" s="317"/>
    </row>
    <row r="60" spans="1:9" s="3" customFormat="1" x14ac:dyDescent="0.25"/>
    <row r="61" spans="1:9" x14ac:dyDescent="0.25">
      <c r="A61" s="3" t="s">
        <v>55</v>
      </c>
      <c r="B61" s="3"/>
      <c r="C61" s="3" t="s">
        <v>49</v>
      </c>
      <c r="D61" s="3"/>
      <c r="E61" s="3"/>
      <c r="F61" s="3"/>
      <c r="G61" s="3" t="s">
        <v>102</v>
      </c>
      <c r="H61" s="15"/>
    </row>
    <row r="62" spans="1:9" x14ac:dyDescent="0.25">
      <c r="A62" s="3"/>
      <c r="B62" s="3"/>
      <c r="C62" s="3"/>
      <c r="D62" s="3"/>
      <c r="E62" s="3"/>
      <c r="F62" s="3"/>
      <c r="G62" s="4" t="s">
        <v>265</v>
      </c>
      <c r="H62" s="4"/>
    </row>
    <row r="63" spans="1:9" x14ac:dyDescent="0.25">
      <c r="A63" s="3" t="s">
        <v>50</v>
      </c>
      <c r="B63" s="3"/>
      <c r="C63" s="3"/>
      <c r="D63" s="3"/>
      <c r="E63" s="3"/>
      <c r="F63" s="3"/>
      <c r="G63" s="3"/>
      <c r="H63" s="15"/>
    </row>
    <row r="64" spans="1:9" x14ac:dyDescent="0.25">
      <c r="A64" s="3"/>
      <c r="B64" s="3"/>
      <c r="C64" s="14" t="s">
        <v>51</v>
      </c>
      <c r="D64" s="14"/>
      <c r="E64" s="3"/>
      <c r="F64" s="14"/>
      <c r="G64" s="14"/>
      <c r="H64" s="85"/>
    </row>
  </sheetData>
  <mergeCells count="44">
    <mergeCell ref="B59:D59"/>
    <mergeCell ref="G59:I59"/>
    <mergeCell ref="B56:D56"/>
    <mergeCell ref="G56:I56"/>
    <mergeCell ref="B57:D57"/>
    <mergeCell ref="G57:I57"/>
    <mergeCell ref="B58:D58"/>
    <mergeCell ref="G58:I58"/>
    <mergeCell ref="B53:D53"/>
    <mergeCell ref="G53:I53"/>
    <mergeCell ref="B54:D54"/>
    <mergeCell ref="G54:I54"/>
    <mergeCell ref="B55:D55"/>
    <mergeCell ref="G55:I55"/>
    <mergeCell ref="B50:D50"/>
    <mergeCell ref="G50:I50"/>
    <mergeCell ref="B51:D51"/>
    <mergeCell ref="G51:I51"/>
    <mergeCell ref="B52:D52"/>
    <mergeCell ref="G52:I52"/>
    <mergeCell ref="B48:D48"/>
    <mergeCell ref="G48:I48"/>
    <mergeCell ref="B49:D49"/>
    <mergeCell ref="G49:I49"/>
    <mergeCell ref="B45:D45"/>
    <mergeCell ref="G45:I45"/>
    <mergeCell ref="B46:D46"/>
    <mergeCell ref="G46:I46"/>
    <mergeCell ref="B47:D47"/>
    <mergeCell ref="G47:I47"/>
    <mergeCell ref="B44:D44"/>
    <mergeCell ref="G44:I44"/>
    <mergeCell ref="A11:I11"/>
    <mergeCell ref="A1:I1"/>
    <mergeCell ref="A2:I2"/>
    <mergeCell ref="A3:K3"/>
    <mergeCell ref="A5:I5"/>
    <mergeCell ref="A10:I10"/>
    <mergeCell ref="A12:I12"/>
    <mergeCell ref="A13:C13"/>
    <mergeCell ref="A35:C35"/>
    <mergeCell ref="A42:I42"/>
    <mergeCell ref="A39:B39"/>
    <mergeCell ref="A40:B41"/>
  </mergeCells>
  <phoneticPr fontId="18" type="noConversion"/>
  <pageMargins left="0.7" right="0.7" top="0.75" bottom="0.75" header="0.3" footer="0.3"/>
  <pageSetup paperSize="9" scale="71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G15" sqref="G15"/>
    </sheetView>
  </sheetViews>
  <sheetFormatPr defaultRowHeight="15" outlineLevelCol="1" x14ac:dyDescent="0.25"/>
  <cols>
    <col min="1" max="1" width="6.28515625" style="1" customWidth="1"/>
    <col min="2" max="2" width="44.140625" style="1" customWidth="1"/>
    <col min="3" max="3" width="13" style="1" customWidth="1"/>
    <col min="4" max="4" width="16.7109375" style="1" customWidth="1"/>
    <col min="5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x14ac:dyDescent="0.25">
      <c r="A7" s="3" t="s">
        <v>2</v>
      </c>
      <c r="F7" s="4" t="s">
        <v>164</v>
      </c>
    </row>
    <row r="8" spans="1:11" s="3" customFormat="1" x14ac:dyDescent="0.25">
      <c r="A8" s="3" t="s">
        <v>3</v>
      </c>
      <c r="F8" s="4" t="s">
        <v>165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5.75" thickBot="1" x14ac:dyDescent="0.3">
      <c r="A13" s="287" t="s">
        <v>240</v>
      </c>
      <c r="B13" s="288"/>
      <c r="C13" s="288"/>
      <c r="D13" s="73">
        <v>533729.1</v>
      </c>
      <c r="E13" s="39"/>
      <c r="F13" s="39"/>
      <c r="G13" s="39"/>
      <c r="H13" s="40"/>
      <c r="I13" s="40"/>
    </row>
    <row r="14" spans="1:11" s="15" customFormat="1" ht="15.75" thickBot="1" x14ac:dyDescent="0.3">
      <c r="A14" s="233"/>
      <c r="B14" s="41"/>
      <c r="C14" s="41"/>
      <c r="D14" s="240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215</v>
      </c>
      <c r="B15" s="43"/>
      <c r="C15" s="43"/>
      <c r="D15" s="44"/>
      <c r="E15" s="45"/>
      <c r="F15" s="45"/>
      <c r="G15" s="73">
        <v>147801.69</v>
      </c>
      <c r="H15" s="40"/>
      <c r="I15" s="40"/>
    </row>
    <row r="16" spans="1:11" s="3" customFormat="1" x14ac:dyDescent="0.25"/>
    <row r="17" spans="1:13" s="18" customFormat="1" ht="38.25" x14ac:dyDescent="0.25">
      <c r="A17" s="6" t="s">
        <v>11</v>
      </c>
      <c r="B17" s="6" t="s">
        <v>12</v>
      </c>
      <c r="C17" s="6" t="s">
        <v>103</v>
      </c>
      <c r="D17" s="6" t="s">
        <v>393</v>
      </c>
      <c r="E17" s="6" t="s">
        <v>249</v>
      </c>
      <c r="F17" s="17" t="s">
        <v>250</v>
      </c>
      <c r="G17" s="6" t="s">
        <v>251</v>
      </c>
    </row>
    <row r="18" spans="1:13" s="190" customFormat="1" ht="28.5" x14ac:dyDescent="0.2">
      <c r="A18" s="187" t="s">
        <v>14</v>
      </c>
      <c r="B18" s="137" t="s">
        <v>15</v>
      </c>
      <c r="C18" s="201">
        <f>SUM(C19:C22)</f>
        <v>8.83</v>
      </c>
      <c r="D18" s="165">
        <v>1339822.92</v>
      </c>
      <c r="E18" s="165">
        <v>1341041.69</v>
      </c>
      <c r="F18" s="165">
        <f t="shared" ref="F18:F25" si="0">D18</f>
        <v>1339822.92</v>
      </c>
      <c r="G18" s="166">
        <f t="shared" ref="G18:G27" si="1">E18-D18</f>
        <v>1218.7700000000186</v>
      </c>
      <c r="H18" s="167">
        <f>C18</f>
        <v>8.83</v>
      </c>
    </row>
    <row r="19" spans="1:13" s="3" customFormat="1" x14ac:dyDescent="0.25">
      <c r="A19" s="8" t="s">
        <v>16</v>
      </c>
      <c r="B19" s="9" t="s">
        <v>17</v>
      </c>
      <c r="C19" s="69">
        <v>3.08</v>
      </c>
      <c r="D19" s="67">
        <f>D18*I19</f>
        <v>467344.80108720274</v>
      </c>
      <c r="E19" s="67">
        <f>E18*I19</f>
        <v>467769.92131370329</v>
      </c>
      <c r="F19" s="67">
        <f t="shared" si="0"/>
        <v>467344.80108720274</v>
      </c>
      <c r="G19" s="68">
        <f t="shared" si="1"/>
        <v>425.12022650055587</v>
      </c>
      <c r="H19" s="162">
        <f t="shared" ref="H19:H22" si="2">C19</f>
        <v>3.08</v>
      </c>
      <c r="I19" s="15">
        <f>H19/H18</f>
        <v>0.34881087202718009</v>
      </c>
    </row>
    <row r="20" spans="1:13" s="3" customFormat="1" x14ac:dyDescent="0.25">
      <c r="A20" s="8" t="s">
        <v>18</v>
      </c>
      <c r="B20" s="9" t="s">
        <v>19</v>
      </c>
      <c r="C20" s="69">
        <v>1.47</v>
      </c>
      <c r="D20" s="67">
        <f>D18*I20</f>
        <v>223050.92779161947</v>
      </c>
      <c r="E20" s="67">
        <f>E18*I20</f>
        <v>223253.8260815402</v>
      </c>
      <c r="F20" s="67">
        <f t="shared" si="0"/>
        <v>223050.92779161947</v>
      </c>
      <c r="G20" s="68">
        <f t="shared" si="1"/>
        <v>202.89828992073308</v>
      </c>
      <c r="H20" s="162">
        <f t="shared" si="2"/>
        <v>1.47</v>
      </c>
      <c r="I20" s="15">
        <f>H20/H18</f>
        <v>0.16647791619479049</v>
      </c>
    </row>
    <row r="21" spans="1:13" s="3" customFormat="1" x14ac:dyDescent="0.25">
      <c r="A21" s="8" t="s">
        <v>20</v>
      </c>
      <c r="B21" s="9" t="s">
        <v>21</v>
      </c>
      <c r="C21" s="69">
        <v>1.68</v>
      </c>
      <c r="D21" s="67">
        <f>D18*I21</f>
        <v>254915.34604756508</v>
      </c>
      <c r="E21" s="67">
        <f>E18*I21</f>
        <v>255147.2298074745</v>
      </c>
      <c r="F21" s="67">
        <f t="shared" si="0"/>
        <v>254915.34604756508</v>
      </c>
      <c r="G21" s="68">
        <f t="shared" si="1"/>
        <v>231.88375990942586</v>
      </c>
      <c r="H21" s="162">
        <f t="shared" si="2"/>
        <v>1.68</v>
      </c>
      <c r="I21" s="15">
        <f>H21/H18</f>
        <v>0.19026047565118911</v>
      </c>
    </row>
    <row r="22" spans="1:13" s="3" customFormat="1" x14ac:dyDescent="0.25">
      <c r="A22" s="8" t="s">
        <v>22</v>
      </c>
      <c r="B22" s="9" t="s">
        <v>23</v>
      </c>
      <c r="C22" s="69">
        <v>2.6</v>
      </c>
      <c r="D22" s="67">
        <f>D18*I22</f>
        <v>394511.84507361264</v>
      </c>
      <c r="E22" s="67">
        <f>E18*I22</f>
        <v>394870.71279728197</v>
      </c>
      <c r="F22" s="67">
        <f t="shared" si="0"/>
        <v>394511.84507361264</v>
      </c>
      <c r="G22" s="68">
        <f t="shared" si="1"/>
        <v>358.86772366933292</v>
      </c>
      <c r="H22" s="162">
        <f t="shared" si="2"/>
        <v>2.6</v>
      </c>
      <c r="I22" s="15">
        <f>H22/H18</f>
        <v>0.29445073612684031</v>
      </c>
    </row>
    <row r="23" spans="1:13" s="186" customFormat="1" x14ac:dyDescent="0.25">
      <c r="A23" s="137" t="s">
        <v>25</v>
      </c>
      <c r="B23" s="137" t="s">
        <v>26</v>
      </c>
      <c r="C23" s="201">
        <v>3.43</v>
      </c>
      <c r="D23" s="166">
        <v>382650.22</v>
      </c>
      <c r="E23" s="166">
        <v>383038.28</v>
      </c>
      <c r="F23" s="165">
        <f t="shared" si="0"/>
        <v>382650.22</v>
      </c>
      <c r="G23" s="166">
        <f t="shared" si="1"/>
        <v>388.06000000005588</v>
      </c>
      <c r="M23" s="238"/>
    </row>
    <row r="24" spans="1:13" s="186" customFormat="1" x14ac:dyDescent="0.25">
      <c r="A24" s="137" t="s">
        <v>27</v>
      </c>
      <c r="B24" s="137" t="s">
        <v>28</v>
      </c>
      <c r="C24" s="201">
        <v>4.5999999999999996</v>
      </c>
      <c r="D24" s="166">
        <v>517776</v>
      </c>
      <c r="E24" s="166">
        <v>515717.08</v>
      </c>
      <c r="F24" s="166">
        <f t="shared" si="0"/>
        <v>517776</v>
      </c>
      <c r="G24" s="166">
        <f t="shared" si="1"/>
        <v>-2058.9199999999837</v>
      </c>
      <c r="M24" s="238"/>
    </row>
    <row r="25" spans="1:13" s="186" customFormat="1" x14ac:dyDescent="0.25">
      <c r="A25" s="137" t="s">
        <v>29</v>
      </c>
      <c r="B25" s="137" t="s">
        <v>30</v>
      </c>
      <c r="C25" s="201">
        <v>0</v>
      </c>
      <c r="D25" s="166">
        <v>0</v>
      </c>
      <c r="E25" s="166">
        <v>0</v>
      </c>
      <c r="F25" s="166">
        <f t="shared" si="0"/>
        <v>0</v>
      </c>
      <c r="G25" s="166">
        <f t="shared" si="1"/>
        <v>0</v>
      </c>
      <c r="M25" s="238"/>
    </row>
    <row r="26" spans="1:13" s="186" customFormat="1" x14ac:dyDescent="0.25">
      <c r="A26" s="137" t="s">
        <v>31</v>
      </c>
      <c r="B26" s="137" t="s">
        <v>132</v>
      </c>
      <c r="C26" s="201">
        <v>1.82</v>
      </c>
      <c r="D26" s="166">
        <v>202413.36</v>
      </c>
      <c r="E26" s="166">
        <v>203891.06</v>
      </c>
      <c r="F26" s="172">
        <f>G41</f>
        <v>433748.87059999997</v>
      </c>
      <c r="G26" s="166">
        <f t="shared" si="1"/>
        <v>1477.7000000000116</v>
      </c>
      <c r="M26" s="238"/>
    </row>
    <row r="27" spans="1:13" s="186" customFormat="1" x14ac:dyDescent="0.25">
      <c r="A27" s="137" t="s">
        <v>33</v>
      </c>
      <c r="B27" s="137" t="s">
        <v>248</v>
      </c>
      <c r="C27" s="202">
        <v>0</v>
      </c>
      <c r="D27" s="166">
        <v>0</v>
      </c>
      <c r="E27" s="166">
        <v>0</v>
      </c>
      <c r="F27" s="172">
        <f>D27</f>
        <v>0</v>
      </c>
      <c r="G27" s="166">
        <f t="shared" si="1"/>
        <v>0</v>
      </c>
      <c r="M27" s="238"/>
    </row>
    <row r="28" spans="1:13" s="186" customFormat="1" x14ac:dyDescent="0.25">
      <c r="A28" s="137" t="s">
        <v>35</v>
      </c>
      <c r="B28" s="137" t="s">
        <v>36</v>
      </c>
      <c r="C28" s="201">
        <f>SUM(C29:C32)</f>
        <v>0</v>
      </c>
      <c r="D28" s="166">
        <f>SUM(D29:D32)</f>
        <v>5657959.5</v>
      </c>
      <c r="E28" s="166">
        <f>SUM(E29:E32)</f>
        <v>5723767.4499999993</v>
      </c>
      <c r="F28" s="166">
        <f>SUM(F29:F32)</f>
        <v>5657959.5</v>
      </c>
      <c r="G28" s="166">
        <f>SUM(G29:G32)</f>
        <v>65807.949999999953</v>
      </c>
      <c r="M28" s="238"/>
    </row>
    <row r="29" spans="1:13" x14ac:dyDescent="0.25">
      <c r="A29" s="9" t="s">
        <v>37</v>
      </c>
      <c r="B29" s="9" t="s">
        <v>398</v>
      </c>
      <c r="C29" s="237" t="s">
        <v>375</v>
      </c>
      <c r="D29" s="68">
        <v>1241265.22</v>
      </c>
      <c r="E29" s="68">
        <v>1257081.52</v>
      </c>
      <c r="F29" s="68">
        <f>D29</f>
        <v>1241265.22</v>
      </c>
      <c r="G29" s="68">
        <f>E29-D29</f>
        <v>15816.300000000047</v>
      </c>
    </row>
    <row r="30" spans="1:13" x14ac:dyDescent="0.25">
      <c r="A30" s="9" t="s">
        <v>39</v>
      </c>
      <c r="B30" s="9" t="s">
        <v>171</v>
      </c>
      <c r="C30" s="237" t="s">
        <v>246</v>
      </c>
      <c r="D30" s="68">
        <v>601455.05000000005</v>
      </c>
      <c r="E30" s="68">
        <v>592931.56000000006</v>
      </c>
      <c r="F30" s="68">
        <f>D30</f>
        <v>601455.05000000005</v>
      </c>
      <c r="G30" s="68">
        <f>E30-D30</f>
        <v>-8523.4899999999907</v>
      </c>
    </row>
    <row r="31" spans="1:13" x14ac:dyDescent="0.25">
      <c r="A31" s="9" t="s">
        <v>42</v>
      </c>
      <c r="B31" s="9" t="s">
        <v>173</v>
      </c>
      <c r="C31" s="236" t="s">
        <v>395</v>
      </c>
      <c r="D31" s="68">
        <v>1055371.3700000001</v>
      </c>
      <c r="E31" s="68">
        <v>1013193.26</v>
      </c>
      <c r="F31" s="68">
        <f>D31</f>
        <v>1055371.3700000001</v>
      </c>
      <c r="G31" s="68">
        <f>E31-D31</f>
        <v>-42178.110000000102</v>
      </c>
    </row>
    <row r="32" spans="1:13" x14ac:dyDescent="0.25">
      <c r="A32" s="9" t="s">
        <v>41</v>
      </c>
      <c r="B32" s="9" t="s">
        <v>43</v>
      </c>
      <c r="C32" s="236" t="s">
        <v>378</v>
      </c>
      <c r="D32" s="68">
        <v>2759867.86</v>
      </c>
      <c r="E32" s="68">
        <v>2860561.11</v>
      </c>
      <c r="F32" s="68">
        <f>D32</f>
        <v>2759867.86</v>
      </c>
      <c r="G32" s="68">
        <f>E32-D32</f>
        <v>100693.25</v>
      </c>
    </row>
    <row r="33" spans="1:13" s="97" customFormat="1" x14ac:dyDescent="0.25">
      <c r="A33" s="113">
        <v>8</v>
      </c>
      <c r="B33" s="95" t="s">
        <v>180</v>
      </c>
      <c r="C33" s="114"/>
      <c r="D33" s="96">
        <f>10800+3600+2400+3000</f>
        <v>19800</v>
      </c>
      <c r="E33" s="96">
        <f>3000+2400+3600+10800</f>
        <v>19800</v>
      </c>
      <c r="F33" s="96">
        <v>0</v>
      </c>
      <c r="G33" s="96"/>
      <c r="M33" s="99"/>
    </row>
    <row r="34" spans="1:13" s="20" customFormat="1" ht="9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3" s="15" customFormat="1" ht="15.75" thickBot="1" x14ac:dyDescent="0.3">
      <c r="A35" s="287" t="s">
        <v>241</v>
      </c>
      <c r="B35" s="288"/>
      <c r="C35" s="288"/>
      <c r="D35" s="73">
        <f>D13+D18+D23+D24+D25+D26+D27+D28-E18-E23-E24-E25-E26-E27-E28</f>
        <v>466895.54000000097</v>
      </c>
      <c r="E35" s="39"/>
      <c r="F35" s="39"/>
      <c r="G35" s="39"/>
      <c r="H35" s="40"/>
      <c r="I35" s="40"/>
    </row>
    <row r="36" spans="1:13" s="15" customFormat="1" ht="8.25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3" s="15" customFormat="1" ht="15.75" thickBot="1" x14ac:dyDescent="0.3">
      <c r="A37" s="87" t="s">
        <v>243</v>
      </c>
      <c r="B37" s="43"/>
      <c r="C37" s="43"/>
      <c r="D37" s="44"/>
      <c r="E37" s="45"/>
      <c r="F37" s="45"/>
      <c r="G37" s="38">
        <f>G15+E26-F26</f>
        <v>-82056.120599999966</v>
      </c>
      <c r="H37" s="40"/>
      <c r="I37" s="40"/>
    </row>
    <row r="38" spans="1:13" ht="35.25" customHeight="1" x14ac:dyDescent="0.25">
      <c r="A38" s="340" t="s">
        <v>44</v>
      </c>
      <c r="B38" s="340"/>
      <c r="C38" s="340"/>
      <c r="D38" s="340"/>
      <c r="E38" s="340"/>
      <c r="F38" s="340"/>
      <c r="G38" s="340"/>
      <c r="H38" s="340"/>
      <c r="I38" s="340"/>
    </row>
    <row r="39" spans="1:13" ht="9" customHeight="1" x14ac:dyDescent="0.25"/>
    <row r="40" spans="1:13" s="7" customFormat="1" ht="28.5" customHeight="1" x14ac:dyDescent="0.25">
      <c r="A40" s="5" t="s">
        <v>11</v>
      </c>
      <c r="B40" s="306" t="s">
        <v>45</v>
      </c>
      <c r="C40" s="367"/>
      <c r="D40" s="307"/>
      <c r="E40" s="5" t="s">
        <v>254</v>
      </c>
      <c r="F40" s="5" t="s">
        <v>253</v>
      </c>
      <c r="G40" s="369" t="s">
        <v>46</v>
      </c>
      <c r="H40" s="369"/>
      <c r="I40" s="370"/>
    </row>
    <row r="41" spans="1:13" s="12" customFormat="1" x14ac:dyDescent="0.25">
      <c r="A41" s="11" t="s">
        <v>47</v>
      </c>
      <c r="B41" s="308" t="s">
        <v>127</v>
      </c>
      <c r="C41" s="368"/>
      <c r="D41" s="309"/>
      <c r="E41" s="194"/>
      <c r="F41" s="194"/>
      <c r="G41" s="377">
        <f>SUM(G42:I52)</f>
        <v>433748.87059999997</v>
      </c>
      <c r="H41" s="377"/>
      <c r="I41" s="370"/>
    </row>
    <row r="42" spans="1:13" ht="15" customHeight="1" x14ac:dyDescent="0.25">
      <c r="A42" s="9" t="s">
        <v>16</v>
      </c>
      <c r="B42" s="298" t="s">
        <v>399</v>
      </c>
      <c r="C42" s="359"/>
      <c r="D42" s="299"/>
      <c r="E42" s="193" t="s">
        <v>262</v>
      </c>
      <c r="F42" s="193">
        <v>2</v>
      </c>
      <c r="G42" s="315">
        <v>25284.67</v>
      </c>
      <c r="H42" s="315"/>
      <c r="I42" s="315"/>
    </row>
    <row r="43" spans="1:13" ht="15" customHeight="1" x14ac:dyDescent="0.25">
      <c r="A43" s="9" t="s">
        <v>18</v>
      </c>
      <c r="B43" s="298" t="s">
        <v>411</v>
      </c>
      <c r="C43" s="359"/>
      <c r="D43" s="299"/>
      <c r="E43" s="193" t="s">
        <v>262</v>
      </c>
      <c r="F43" s="193">
        <v>3</v>
      </c>
      <c r="G43" s="315">
        <v>89873.82</v>
      </c>
      <c r="H43" s="315"/>
      <c r="I43" s="315"/>
    </row>
    <row r="44" spans="1:13" ht="15" customHeight="1" x14ac:dyDescent="0.25">
      <c r="A44" s="9" t="s">
        <v>20</v>
      </c>
      <c r="B44" s="298" t="s">
        <v>400</v>
      </c>
      <c r="C44" s="359"/>
      <c r="D44" s="299"/>
      <c r="E44" s="193" t="s">
        <v>262</v>
      </c>
      <c r="F44" s="193">
        <v>2</v>
      </c>
      <c r="G44" s="315">
        <v>1364</v>
      </c>
      <c r="H44" s="315"/>
      <c r="I44" s="315"/>
    </row>
    <row r="45" spans="1:13" ht="15" customHeight="1" x14ac:dyDescent="0.25">
      <c r="A45" s="9" t="s">
        <v>22</v>
      </c>
      <c r="B45" s="298" t="s">
        <v>412</v>
      </c>
      <c r="C45" s="359"/>
      <c r="D45" s="299"/>
      <c r="E45" s="193" t="s">
        <v>262</v>
      </c>
      <c r="F45" s="193">
        <v>5</v>
      </c>
      <c r="G45" s="315">
        <v>415</v>
      </c>
      <c r="H45" s="315"/>
      <c r="I45" s="315"/>
    </row>
    <row r="46" spans="1:13" x14ac:dyDescent="0.25">
      <c r="A46" s="9" t="s">
        <v>24</v>
      </c>
      <c r="B46" s="298" t="s">
        <v>413</v>
      </c>
      <c r="C46" s="359"/>
      <c r="D46" s="299"/>
      <c r="E46" s="193" t="s">
        <v>262</v>
      </c>
      <c r="F46" s="193">
        <v>3</v>
      </c>
      <c r="G46" s="315">
        <v>15000</v>
      </c>
      <c r="H46" s="315"/>
      <c r="I46" s="315"/>
    </row>
    <row r="47" spans="1:13" ht="15" customHeight="1" x14ac:dyDescent="0.25">
      <c r="A47" s="9" t="s">
        <v>117</v>
      </c>
      <c r="B47" s="298" t="s">
        <v>414</v>
      </c>
      <c r="C47" s="359"/>
      <c r="D47" s="299"/>
      <c r="E47" s="193" t="s">
        <v>255</v>
      </c>
      <c r="F47" s="193">
        <v>3</v>
      </c>
      <c r="G47" s="315">
        <v>216859</v>
      </c>
      <c r="H47" s="315"/>
      <c r="I47" s="315"/>
    </row>
    <row r="48" spans="1:13" ht="15" customHeight="1" x14ac:dyDescent="0.25">
      <c r="A48" s="9" t="s">
        <v>118</v>
      </c>
      <c r="B48" s="298" t="s">
        <v>415</v>
      </c>
      <c r="C48" s="359"/>
      <c r="D48" s="299"/>
      <c r="E48" s="193" t="s">
        <v>262</v>
      </c>
      <c r="F48" s="193">
        <v>1</v>
      </c>
      <c r="G48" s="315">
        <v>5698.47</v>
      </c>
      <c r="H48" s="315"/>
      <c r="I48" s="315"/>
    </row>
    <row r="49" spans="1:9" ht="15" customHeight="1" x14ac:dyDescent="0.25">
      <c r="A49" s="9" t="s">
        <v>133</v>
      </c>
      <c r="B49" s="298" t="s">
        <v>416</v>
      </c>
      <c r="C49" s="359"/>
      <c r="D49" s="299"/>
      <c r="E49" s="193" t="s">
        <v>255</v>
      </c>
      <c r="F49" s="193">
        <v>1</v>
      </c>
      <c r="G49" s="315">
        <v>1031</v>
      </c>
      <c r="H49" s="315"/>
      <c r="I49" s="315"/>
    </row>
    <row r="50" spans="1:9" ht="15" customHeight="1" x14ac:dyDescent="0.25">
      <c r="A50" s="9" t="s">
        <v>134</v>
      </c>
      <c r="B50" s="298" t="s">
        <v>547</v>
      </c>
      <c r="C50" s="359"/>
      <c r="D50" s="299"/>
      <c r="E50" s="193"/>
      <c r="F50" s="193"/>
      <c r="G50" s="315">
        <v>15000</v>
      </c>
      <c r="H50" s="315"/>
      <c r="I50" s="315"/>
    </row>
    <row r="51" spans="1:9" ht="15" customHeight="1" x14ac:dyDescent="0.25">
      <c r="A51" s="9" t="s">
        <v>135</v>
      </c>
      <c r="B51" s="298" t="s">
        <v>554</v>
      </c>
      <c r="C51" s="359"/>
      <c r="D51" s="299"/>
      <c r="E51" s="193"/>
      <c r="F51" s="193"/>
      <c r="G51" s="315">
        <v>61184</v>
      </c>
      <c r="H51" s="315"/>
      <c r="I51" s="315"/>
    </row>
    <row r="52" spans="1:9" s="3" customFormat="1" x14ac:dyDescent="0.25">
      <c r="A52" s="9" t="s">
        <v>174</v>
      </c>
      <c r="B52" s="327" t="s">
        <v>533</v>
      </c>
      <c r="C52" s="363"/>
      <c r="D52" s="364"/>
      <c r="E52" s="212"/>
      <c r="F52" s="212"/>
      <c r="G52" s="317">
        <f>E26*1%</f>
        <v>2038.9105999999999</v>
      </c>
      <c r="H52" s="317"/>
      <c r="I52" s="317"/>
    </row>
    <row r="53" spans="1:9" s="3" customFormat="1" x14ac:dyDescent="0.25"/>
    <row r="54" spans="1:9" s="3" customFormat="1" x14ac:dyDescent="0.25">
      <c r="A54" s="3" t="s">
        <v>55</v>
      </c>
      <c r="C54" s="3" t="s">
        <v>49</v>
      </c>
      <c r="G54" s="3" t="s">
        <v>102</v>
      </c>
      <c r="H54" s="15"/>
    </row>
    <row r="55" spans="1:9" x14ac:dyDescent="0.25">
      <c r="A55" s="3"/>
      <c r="B55" s="3"/>
      <c r="C55" s="3"/>
      <c r="D55" s="3"/>
      <c r="E55" s="3"/>
      <c r="F55" s="3"/>
      <c r="G55" s="4" t="s">
        <v>265</v>
      </c>
      <c r="H55" s="4"/>
    </row>
    <row r="56" spans="1:9" x14ac:dyDescent="0.25">
      <c r="A56" s="3" t="s">
        <v>50</v>
      </c>
      <c r="B56" s="3"/>
      <c r="C56" s="3"/>
      <c r="D56" s="3"/>
      <c r="E56" s="3"/>
      <c r="F56" s="3"/>
      <c r="G56" s="3"/>
      <c r="H56" s="15"/>
    </row>
    <row r="57" spans="1:9" x14ac:dyDescent="0.25">
      <c r="A57" s="3"/>
      <c r="B57" s="3"/>
      <c r="C57" s="14" t="s">
        <v>51</v>
      </c>
      <c r="D57" s="14"/>
      <c r="E57" s="3"/>
      <c r="F57" s="14"/>
      <c r="G57" s="14"/>
      <c r="H57" s="85"/>
    </row>
  </sheetData>
  <mergeCells count="36">
    <mergeCell ref="B52:D52"/>
    <mergeCell ref="G52:I52"/>
    <mergeCell ref="B47:D47"/>
    <mergeCell ref="G47:I47"/>
    <mergeCell ref="B48:D48"/>
    <mergeCell ref="G48:I48"/>
    <mergeCell ref="B49:D49"/>
    <mergeCell ref="G49:I49"/>
    <mergeCell ref="B50:D50"/>
    <mergeCell ref="G50:I50"/>
    <mergeCell ref="B51:D51"/>
    <mergeCell ref="G51:I51"/>
    <mergeCell ref="B41:D41"/>
    <mergeCell ref="G41:I41"/>
    <mergeCell ref="B42:D42"/>
    <mergeCell ref="G42:I42"/>
    <mergeCell ref="B43:D43"/>
    <mergeCell ref="G43:I43"/>
    <mergeCell ref="B44:D44"/>
    <mergeCell ref="G44:I44"/>
    <mergeCell ref="B45:D45"/>
    <mergeCell ref="G45:I45"/>
    <mergeCell ref="B46:D46"/>
    <mergeCell ref="G46:I46"/>
    <mergeCell ref="A12:I12"/>
    <mergeCell ref="A13:C13"/>
    <mergeCell ref="A35:C35"/>
    <mergeCell ref="A38:I38"/>
    <mergeCell ref="B40:D40"/>
    <mergeCell ref="G40:I40"/>
    <mergeCell ref="A11:I11"/>
    <mergeCell ref="A1:I1"/>
    <mergeCell ref="A2:I2"/>
    <mergeCell ref="A3:K3"/>
    <mergeCell ref="A5:I5"/>
    <mergeCell ref="A10:I10"/>
  </mergeCells>
  <phoneticPr fontId="18" type="noConversion"/>
  <pageMargins left="0.7" right="0.7" top="0.75" bottom="0.75" header="0.3" footer="0.3"/>
  <pageSetup paperSize="9" scale="7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G37" sqref="G37"/>
    </sheetView>
  </sheetViews>
  <sheetFormatPr defaultRowHeight="15" outlineLevelCol="1" x14ac:dyDescent="0.25"/>
  <cols>
    <col min="1" max="1" width="5.7109375" style="1" customWidth="1"/>
    <col min="2" max="2" width="39.7109375" style="1" customWidth="1"/>
    <col min="3" max="3" width="14" style="1" customWidth="1"/>
    <col min="4" max="4" width="12.7109375" style="1" customWidth="1"/>
    <col min="5" max="5" width="13.140625" style="1" customWidth="1"/>
    <col min="6" max="6" width="14.5703125" style="1" customWidth="1"/>
    <col min="7" max="7" width="14.42578125" style="1" customWidth="1"/>
    <col min="8" max="8" width="10.140625" style="1" hidden="1" customWidth="1" outlineLevel="1"/>
    <col min="9" max="9" width="9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2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" customHeight="1" x14ac:dyDescent="0.25">
      <c r="A4" s="301" t="s">
        <v>1</v>
      </c>
      <c r="B4" s="300"/>
      <c r="C4" s="300"/>
      <c r="D4" s="300"/>
      <c r="E4" s="300"/>
      <c r="F4" s="300"/>
      <c r="G4" s="300"/>
      <c r="H4" s="300"/>
      <c r="I4" s="300"/>
    </row>
    <row r="5" spans="1:11" ht="4.5" customHeight="1" x14ac:dyDescent="0.25"/>
    <row r="6" spans="1:11" s="3" customFormat="1" ht="16.5" customHeight="1" x14ac:dyDescent="0.25">
      <c r="A6" s="3" t="s">
        <v>2</v>
      </c>
      <c r="F6" s="4" t="s">
        <v>59</v>
      </c>
    </row>
    <row r="7" spans="1:11" s="3" customFormat="1" x14ac:dyDescent="0.25">
      <c r="A7" s="3" t="s">
        <v>3</v>
      </c>
      <c r="F7" s="4" t="s">
        <v>155</v>
      </c>
    </row>
    <row r="8" spans="1:11" s="3" customFormat="1" x14ac:dyDescent="0.25"/>
    <row r="9" spans="1:11" s="3" customFormat="1" x14ac:dyDescent="0.25">
      <c r="A9" s="286" t="s">
        <v>8</v>
      </c>
      <c r="B9" s="286"/>
      <c r="C9" s="286"/>
      <c r="D9" s="286"/>
      <c r="E9" s="286"/>
      <c r="F9" s="286"/>
      <c r="G9" s="286"/>
      <c r="H9" s="286"/>
      <c r="I9" s="286"/>
    </row>
    <row r="10" spans="1:11" s="3" customFormat="1" x14ac:dyDescent="0.25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ht="9" customHeight="1" thickBot="1" x14ac:dyDescent="0.3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</row>
    <row r="12" spans="1:11" s="15" customFormat="1" ht="16.5" customHeight="1" thickBot="1" x14ac:dyDescent="0.3">
      <c r="A12" s="287" t="s">
        <v>240</v>
      </c>
      <c r="B12" s="288"/>
      <c r="C12" s="288"/>
      <c r="D12" s="38">
        <v>25877.5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87" t="s">
        <v>214</v>
      </c>
      <c r="B14" s="43"/>
      <c r="C14" s="43"/>
      <c r="D14" s="44"/>
      <c r="E14" s="45"/>
      <c r="F14" s="45"/>
      <c r="G14" s="38">
        <v>94288.04</v>
      </c>
      <c r="H14" s="40"/>
      <c r="I14" s="40"/>
    </row>
    <row r="15" spans="1:11" s="15" customFormat="1" ht="15.75" thickBot="1" x14ac:dyDescent="0.3">
      <c r="A15" s="142" t="s">
        <v>215</v>
      </c>
      <c r="B15" s="143"/>
      <c r="C15" s="143"/>
      <c r="D15" s="44"/>
      <c r="E15" s="45"/>
      <c r="F15" s="45"/>
      <c r="G15" s="38">
        <v>-49182</v>
      </c>
      <c r="H15" s="40"/>
      <c r="I15" s="40"/>
    </row>
    <row r="16" spans="1:11" s="3" customFormat="1" ht="6.75" customHeight="1" x14ac:dyDescent="0.25"/>
    <row r="17" spans="1:9" s="18" customFormat="1" ht="38.25" x14ac:dyDescent="0.25">
      <c r="A17" s="6" t="s">
        <v>11</v>
      </c>
      <c r="B17" s="6" t="s">
        <v>12</v>
      </c>
      <c r="C17" s="6" t="s">
        <v>103</v>
      </c>
      <c r="D17" s="129" t="s">
        <v>252</v>
      </c>
      <c r="E17" s="129" t="s">
        <v>249</v>
      </c>
      <c r="F17" s="130" t="s">
        <v>257</v>
      </c>
      <c r="G17" s="129" t="s">
        <v>251</v>
      </c>
    </row>
    <row r="18" spans="1:9" s="190" customFormat="1" ht="14.25" customHeight="1" x14ac:dyDescent="0.25">
      <c r="A18" s="187" t="s">
        <v>14</v>
      </c>
      <c r="B18" s="137" t="s">
        <v>15</v>
      </c>
      <c r="C18" s="180">
        <f>C19+C20+C21+C22</f>
        <v>8.5500000000000007</v>
      </c>
      <c r="D18" s="165">
        <v>402204.6</v>
      </c>
      <c r="E18" s="165">
        <v>409787.82</v>
      </c>
      <c r="F18" s="165">
        <f>D18</f>
        <v>402204.6</v>
      </c>
      <c r="G18" s="166">
        <f>E18-D18</f>
        <v>7583.2200000000303</v>
      </c>
      <c r="H18" s="122">
        <f>C18</f>
        <v>8.5500000000000007</v>
      </c>
    </row>
    <row r="19" spans="1:9" s="3" customFormat="1" ht="14.25" customHeight="1" x14ac:dyDescent="0.25">
      <c r="A19" s="8" t="s">
        <v>16</v>
      </c>
      <c r="B19" s="9" t="s">
        <v>17</v>
      </c>
      <c r="C19" s="157">
        <v>3.08</v>
      </c>
      <c r="D19" s="67">
        <f>D18*I19</f>
        <v>144887.7389473684</v>
      </c>
      <c r="E19" s="67">
        <f>E18*I19</f>
        <v>147619.47200000001</v>
      </c>
      <c r="F19" s="67">
        <f>D19</f>
        <v>144887.7389473684</v>
      </c>
      <c r="G19" s="68">
        <f t="shared" ref="G19:G27" si="0">E19-D19</f>
        <v>2731.7330526316073</v>
      </c>
      <c r="H19" s="122">
        <f t="shared" ref="H19:H22" si="1">C19</f>
        <v>3.08</v>
      </c>
      <c r="I19" s="15">
        <f>H19/H18</f>
        <v>0.36023391812865496</v>
      </c>
    </row>
    <row r="20" spans="1:9" s="3" customFormat="1" ht="14.25" customHeight="1" x14ac:dyDescent="0.25">
      <c r="A20" s="8" t="s">
        <v>18</v>
      </c>
      <c r="B20" s="9" t="s">
        <v>19</v>
      </c>
      <c r="C20" s="157">
        <v>1.51</v>
      </c>
      <c r="D20" s="67">
        <f>D18*I20</f>
        <v>71032.625263157883</v>
      </c>
      <c r="E20" s="67">
        <f>E18*I20</f>
        <v>72371.883999999991</v>
      </c>
      <c r="F20" s="67">
        <f>D20</f>
        <v>71032.625263157883</v>
      </c>
      <c r="G20" s="68">
        <f t="shared" si="0"/>
        <v>1339.2587368421082</v>
      </c>
      <c r="H20" s="122">
        <f t="shared" si="1"/>
        <v>1.51</v>
      </c>
      <c r="I20" s="15">
        <f>H20/H18</f>
        <v>0.17660818713450291</v>
      </c>
    </row>
    <row r="21" spans="1:9" s="3" customFormat="1" ht="14.25" customHeight="1" x14ac:dyDescent="0.25">
      <c r="A21" s="8" t="s">
        <v>20</v>
      </c>
      <c r="B21" s="9" t="s">
        <v>21</v>
      </c>
      <c r="C21" s="157">
        <v>1.36</v>
      </c>
      <c r="D21" s="67">
        <f>D18*I21</f>
        <v>63976.404210526307</v>
      </c>
      <c r="E21" s="67">
        <f>E18*I21</f>
        <v>65182.623999999996</v>
      </c>
      <c r="F21" s="67">
        <f>D21</f>
        <v>63976.404210526307</v>
      </c>
      <c r="G21" s="68">
        <f t="shared" si="0"/>
        <v>1206.2197894736892</v>
      </c>
      <c r="H21" s="122">
        <f t="shared" si="1"/>
        <v>1.36</v>
      </c>
      <c r="I21" s="15">
        <f>H21/H18</f>
        <v>0.1590643274853801</v>
      </c>
    </row>
    <row r="22" spans="1:9" s="3" customFormat="1" x14ac:dyDescent="0.25">
      <c r="A22" s="8" t="s">
        <v>22</v>
      </c>
      <c r="B22" s="9" t="s">
        <v>23</v>
      </c>
      <c r="C22" s="152">
        <v>2.6</v>
      </c>
      <c r="D22" s="67">
        <f>D18*I22</f>
        <v>122307.83157894736</v>
      </c>
      <c r="E22" s="67">
        <f>E18*I22</f>
        <v>124613.84</v>
      </c>
      <c r="F22" s="67">
        <f>D22</f>
        <v>122307.83157894736</v>
      </c>
      <c r="G22" s="68">
        <f t="shared" si="0"/>
        <v>2306.0084210526402</v>
      </c>
      <c r="H22" s="122">
        <f t="shared" si="1"/>
        <v>2.6</v>
      </c>
      <c r="I22" s="3">
        <f>H22/H18</f>
        <v>0.30409356725146197</v>
      </c>
    </row>
    <row r="23" spans="1:9" s="186" customFormat="1" ht="14.25" customHeight="1" x14ac:dyDescent="0.2">
      <c r="A23" s="137" t="s">
        <v>25</v>
      </c>
      <c r="B23" s="170" t="s">
        <v>26</v>
      </c>
      <c r="C23" s="201">
        <v>0</v>
      </c>
      <c r="D23" s="166">
        <v>0</v>
      </c>
      <c r="E23" s="166">
        <v>0</v>
      </c>
      <c r="F23" s="166">
        <v>0</v>
      </c>
      <c r="G23" s="166">
        <f t="shared" si="0"/>
        <v>0</v>
      </c>
    </row>
    <row r="24" spans="1:9" s="186" customFormat="1" ht="14.25" customHeight="1" x14ac:dyDescent="0.2">
      <c r="A24" s="137" t="s">
        <v>27</v>
      </c>
      <c r="B24" s="170" t="s">
        <v>28</v>
      </c>
      <c r="C24" s="201">
        <v>4.5999999999999996</v>
      </c>
      <c r="D24" s="166">
        <v>216389.52</v>
      </c>
      <c r="E24" s="166">
        <v>219175.11</v>
      </c>
      <c r="F24" s="166">
        <f>D24</f>
        <v>216389.52</v>
      </c>
      <c r="G24" s="166">
        <f t="shared" si="0"/>
        <v>2785.5899999999965</v>
      </c>
    </row>
    <row r="25" spans="1:9" s="186" customFormat="1" ht="14.25" customHeight="1" x14ac:dyDescent="0.2">
      <c r="A25" s="137" t="s">
        <v>29</v>
      </c>
      <c r="B25" s="170" t="s">
        <v>248</v>
      </c>
      <c r="C25" s="171">
        <v>1755.25</v>
      </c>
      <c r="D25" s="166">
        <v>12842.52</v>
      </c>
      <c r="E25" s="166">
        <v>13172.17</v>
      </c>
      <c r="F25" s="166">
        <f>D25</f>
        <v>12842.52</v>
      </c>
      <c r="G25" s="166">
        <f>E25-D25</f>
        <v>329.64999999999964</v>
      </c>
    </row>
    <row r="26" spans="1:9" s="186" customFormat="1" ht="14.25" customHeight="1" x14ac:dyDescent="0.2">
      <c r="A26" s="137" t="s">
        <v>31</v>
      </c>
      <c r="B26" s="170" t="s">
        <v>132</v>
      </c>
      <c r="C26" s="201">
        <v>1.65</v>
      </c>
      <c r="D26" s="166">
        <v>77620.320000000007</v>
      </c>
      <c r="E26" s="166">
        <v>79903.88</v>
      </c>
      <c r="F26" s="172">
        <f>F42</f>
        <v>268376.23879999999</v>
      </c>
      <c r="G26" s="166">
        <f>E26-D26</f>
        <v>2283.5599999999977</v>
      </c>
    </row>
    <row r="27" spans="1:9" s="186" customFormat="1" ht="14.25" customHeight="1" x14ac:dyDescent="0.2">
      <c r="A27" s="137" t="s">
        <v>33</v>
      </c>
      <c r="B27" s="36" t="s">
        <v>34</v>
      </c>
      <c r="C27" s="202">
        <v>0</v>
      </c>
      <c r="D27" s="166">
        <v>0</v>
      </c>
      <c r="E27" s="166">
        <v>130.1</v>
      </c>
      <c r="F27" s="172">
        <v>0</v>
      </c>
      <c r="G27" s="166">
        <f t="shared" si="0"/>
        <v>130.1</v>
      </c>
    </row>
    <row r="28" spans="1:9" s="186" customFormat="1" ht="14.25" customHeight="1" x14ac:dyDescent="0.2">
      <c r="A28" s="137" t="s">
        <v>35</v>
      </c>
      <c r="B28" s="36" t="s">
        <v>36</v>
      </c>
      <c r="C28" s="201"/>
      <c r="D28" s="166">
        <f>SUM(D29:D32)</f>
        <v>1737810.85</v>
      </c>
      <c r="E28" s="166">
        <f>SUM(E29:E32)</f>
        <v>1760494.98</v>
      </c>
      <c r="F28" s="166">
        <f>SUM(F29:F32)</f>
        <v>1737810.85</v>
      </c>
      <c r="G28" s="166">
        <f>SUM(G29:G32)</f>
        <v>22684.130000000085</v>
      </c>
    </row>
    <row r="29" spans="1:9" ht="14.25" customHeight="1" x14ac:dyDescent="0.25">
      <c r="A29" s="9" t="s">
        <v>37</v>
      </c>
      <c r="B29" s="9" t="s">
        <v>263</v>
      </c>
      <c r="C29" s="152" t="s">
        <v>245</v>
      </c>
      <c r="D29" s="68">
        <v>59256.47</v>
      </c>
      <c r="E29" s="68">
        <v>60963.38</v>
      </c>
      <c r="F29" s="68">
        <f>D29</f>
        <v>59256.47</v>
      </c>
      <c r="G29" s="68">
        <f>E29-D29</f>
        <v>1706.9099999999962</v>
      </c>
    </row>
    <row r="30" spans="1:9" ht="14.25" customHeight="1" x14ac:dyDescent="0.25">
      <c r="A30" s="9" t="s">
        <v>39</v>
      </c>
      <c r="B30" s="9" t="s">
        <v>171</v>
      </c>
      <c r="C30" s="152" t="s">
        <v>246</v>
      </c>
      <c r="D30" s="68">
        <v>477937.66</v>
      </c>
      <c r="E30" s="68">
        <v>478401.57</v>
      </c>
      <c r="F30" s="68">
        <f>D30</f>
        <v>477937.66</v>
      </c>
      <c r="G30" s="68">
        <f>E30-D30</f>
        <v>463.9100000000326</v>
      </c>
    </row>
    <row r="31" spans="1:9" ht="14.25" customHeight="1" x14ac:dyDescent="0.25">
      <c r="A31" s="9" t="s">
        <v>42</v>
      </c>
      <c r="B31" s="9" t="s">
        <v>40</v>
      </c>
      <c r="C31" s="158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9" ht="14.25" customHeight="1" x14ac:dyDescent="0.25">
      <c r="A32" s="9" t="s">
        <v>41</v>
      </c>
      <c r="B32" s="9" t="s">
        <v>43</v>
      </c>
      <c r="C32" s="152" t="s">
        <v>247</v>
      </c>
      <c r="D32" s="68">
        <v>1200616.72</v>
      </c>
      <c r="E32" s="68">
        <v>1221130.03</v>
      </c>
      <c r="F32" s="68">
        <f>D32</f>
        <v>1200616.72</v>
      </c>
      <c r="G32" s="68">
        <f>E32-D32</f>
        <v>20513.310000000056</v>
      </c>
    </row>
    <row r="33" spans="1:10" s="20" customFormat="1" ht="15" customHeight="1" thickBot="1" x14ac:dyDescent="0.3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10" s="15" customFormat="1" ht="15.75" thickBot="1" x14ac:dyDescent="0.3">
      <c r="A34" s="287" t="s">
        <v>270</v>
      </c>
      <c r="B34" s="288"/>
      <c r="C34" s="288"/>
      <c r="D34" s="38">
        <f>D12+D18+D24+D26+D27+D28+D25-E25-E18-E24-E26-E27-E28</f>
        <v>-9918.75</v>
      </c>
      <c r="E34" s="39"/>
      <c r="F34" s="39"/>
      <c r="G34" s="39"/>
      <c r="H34" s="40"/>
      <c r="I34" s="40"/>
    </row>
    <row r="35" spans="1:10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87" t="s">
        <v>242</v>
      </c>
      <c r="B36" s="43"/>
      <c r="C36" s="43"/>
      <c r="D36" s="44"/>
      <c r="E36" s="45"/>
      <c r="F36" s="45"/>
      <c r="G36" s="38">
        <f>G14+E27-F27</f>
        <v>94418.14</v>
      </c>
      <c r="H36" s="40"/>
      <c r="I36" s="40"/>
    </row>
    <row r="37" spans="1:10" s="15" customFormat="1" ht="15.75" thickBot="1" x14ac:dyDescent="0.3">
      <c r="A37" s="138" t="s">
        <v>243</v>
      </c>
      <c r="B37" s="139"/>
      <c r="C37" s="139"/>
      <c r="D37" s="44"/>
      <c r="E37" s="45"/>
      <c r="F37" s="45"/>
      <c r="G37" s="38">
        <f>G15+E26-F26</f>
        <v>-237654.35879999999</v>
      </c>
      <c r="H37" s="40"/>
      <c r="I37" s="40"/>
    </row>
    <row r="38" spans="1:10" s="15" customFormat="1" x14ac:dyDescent="0.25">
      <c r="A38" s="140"/>
      <c r="B38" s="41"/>
      <c r="C38" s="41"/>
      <c r="D38" s="42"/>
      <c r="E38" s="39"/>
      <c r="F38" s="39"/>
      <c r="G38" s="42"/>
      <c r="H38" s="40"/>
      <c r="I38" s="40"/>
    </row>
    <row r="39" spans="1:10" ht="31.5" customHeight="1" x14ac:dyDescent="0.25">
      <c r="A39" s="289" t="s">
        <v>44</v>
      </c>
      <c r="B39" s="289"/>
      <c r="C39" s="289"/>
      <c r="D39" s="289"/>
      <c r="E39" s="289"/>
      <c r="F39" s="289"/>
      <c r="G39" s="289"/>
      <c r="H39" s="289"/>
      <c r="I39" s="289"/>
    </row>
    <row r="40" spans="1:10" ht="9" customHeight="1" x14ac:dyDescent="0.25"/>
    <row r="41" spans="1:10" s="7" customFormat="1" ht="28.5" customHeight="1" x14ac:dyDescent="0.25">
      <c r="A41" s="5" t="s">
        <v>11</v>
      </c>
      <c r="B41" s="191" t="s">
        <v>45</v>
      </c>
      <c r="C41" s="192"/>
      <c r="D41" s="5" t="s">
        <v>254</v>
      </c>
      <c r="E41" s="5" t="s">
        <v>253</v>
      </c>
      <c r="F41" s="306" t="s">
        <v>46</v>
      </c>
      <c r="G41" s="312"/>
    </row>
    <row r="42" spans="1:10" s="12" customFormat="1" ht="15" customHeight="1" x14ac:dyDescent="0.25">
      <c r="A42" s="11">
        <v>1</v>
      </c>
      <c r="B42" s="308" t="s">
        <v>127</v>
      </c>
      <c r="C42" s="309"/>
      <c r="D42" s="11"/>
      <c r="E42" s="11"/>
      <c r="F42" s="316">
        <f>SUM(F43:G47)</f>
        <v>268376.23879999999</v>
      </c>
      <c r="G42" s="312"/>
    </row>
    <row r="43" spans="1:10" s="48" customFormat="1" ht="15.75" customHeight="1" x14ac:dyDescent="0.25">
      <c r="A43" s="47" t="s">
        <v>16</v>
      </c>
      <c r="B43" s="197" t="s">
        <v>235</v>
      </c>
      <c r="C43" s="198"/>
      <c r="D43" s="203" t="s">
        <v>255</v>
      </c>
      <c r="E43" s="204">
        <v>8</v>
      </c>
      <c r="F43" s="317">
        <v>6658.38</v>
      </c>
      <c r="G43" s="317"/>
    </row>
    <row r="44" spans="1:10" s="48" customFormat="1" ht="15.75" customHeight="1" x14ac:dyDescent="0.25">
      <c r="A44" s="47" t="s">
        <v>18</v>
      </c>
      <c r="B44" s="197" t="s">
        <v>271</v>
      </c>
      <c r="C44" s="198"/>
      <c r="D44" s="203" t="s">
        <v>255</v>
      </c>
      <c r="E44" s="204">
        <v>713</v>
      </c>
      <c r="F44" s="317">
        <v>145533.34</v>
      </c>
      <c r="G44" s="317"/>
    </row>
    <row r="45" spans="1:10" s="48" customFormat="1" ht="15.75" customHeight="1" x14ac:dyDescent="0.25">
      <c r="A45" s="9" t="s">
        <v>20</v>
      </c>
      <c r="B45" s="271" t="s">
        <v>353</v>
      </c>
      <c r="C45" s="198"/>
      <c r="D45" s="203" t="s">
        <v>295</v>
      </c>
      <c r="E45" s="204"/>
      <c r="F45" s="317">
        <v>13852.48</v>
      </c>
      <c r="G45" s="317"/>
    </row>
    <row r="46" spans="1:10" s="48" customFormat="1" ht="15.75" customHeight="1" x14ac:dyDescent="0.25">
      <c r="A46" s="9" t="s">
        <v>22</v>
      </c>
      <c r="B46" s="271" t="s">
        <v>540</v>
      </c>
      <c r="C46" s="198"/>
      <c r="D46" s="203"/>
      <c r="E46" s="204"/>
      <c r="F46" s="317">
        <v>101533</v>
      </c>
      <c r="G46" s="317"/>
    </row>
    <row r="47" spans="1:10" ht="15.75" customHeight="1" x14ac:dyDescent="0.25">
      <c r="A47" s="9" t="s">
        <v>24</v>
      </c>
      <c r="B47" s="144" t="s">
        <v>533</v>
      </c>
      <c r="C47" s="145"/>
      <c r="D47" s="177"/>
      <c r="E47" s="177"/>
      <c r="F47" s="315">
        <f>E26*1%</f>
        <v>799.03880000000004</v>
      </c>
      <c r="G47" s="315"/>
    </row>
    <row r="48" spans="1:10" ht="15.75" customHeight="1" x14ac:dyDescent="0.25">
      <c r="A48" s="49"/>
      <c r="B48" s="74"/>
      <c r="C48" s="74"/>
      <c r="D48" s="74"/>
      <c r="E48" s="74"/>
      <c r="F48" s="75"/>
      <c r="G48" s="75"/>
    </row>
    <row r="49" spans="1:7" ht="9" customHeight="1" x14ac:dyDescent="0.25">
      <c r="B49" s="13"/>
      <c r="C49" s="13"/>
      <c r="D49" s="13"/>
      <c r="E49" s="13"/>
    </row>
    <row r="50" spans="1:7" s="3" customFormat="1" x14ac:dyDescent="0.25">
      <c r="A50" s="3" t="s">
        <v>55</v>
      </c>
      <c r="C50" s="3" t="s">
        <v>49</v>
      </c>
      <c r="E50" s="3" t="s">
        <v>102</v>
      </c>
    </row>
    <row r="51" spans="1:7" s="3" customFormat="1" ht="7.5" customHeight="1" x14ac:dyDescent="0.25"/>
    <row r="52" spans="1:7" s="3" customFormat="1" ht="13.5" customHeight="1" x14ac:dyDescent="0.25">
      <c r="F52" s="4" t="s">
        <v>265</v>
      </c>
    </row>
    <row r="53" spans="1:7" s="3" customFormat="1" ht="7.5" customHeight="1" x14ac:dyDescent="0.25"/>
    <row r="54" spans="1:7" s="3" customFormat="1" x14ac:dyDescent="0.25">
      <c r="A54" s="3" t="s">
        <v>50</v>
      </c>
    </row>
    <row r="55" spans="1:7" s="3" customFormat="1" x14ac:dyDescent="0.25">
      <c r="C55" s="14" t="s">
        <v>51</v>
      </c>
      <c r="E55" s="14"/>
      <c r="F55" s="14"/>
      <c r="G55" s="14"/>
    </row>
    <row r="56" spans="1:7" s="3" customFormat="1" x14ac:dyDescent="0.25"/>
    <row r="57" spans="1:7" s="3" customFormat="1" x14ac:dyDescent="0.25"/>
  </sheetData>
  <mergeCells count="18">
    <mergeCell ref="A10:I10"/>
    <mergeCell ref="A1:I1"/>
    <mergeCell ref="A2:I2"/>
    <mergeCell ref="A4:I4"/>
    <mergeCell ref="A9:I9"/>
    <mergeCell ref="A3:K3"/>
    <mergeCell ref="F47:G47"/>
    <mergeCell ref="F43:G43"/>
    <mergeCell ref="F42:G42"/>
    <mergeCell ref="F44:G44"/>
    <mergeCell ref="A11:I11"/>
    <mergeCell ref="A39:I39"/>
    <mergeCell ref="F41:G41"/>
    <mergeCell ref="A12:C12"/>
    <mergeCell ref="A34:C34"/>
    <mergeCell ref="B42:C42"/>
    <mergeCell ref="F45:G45"/>
    <mergeCell ref="F46:G46"/>
  </mergeCells>
  <phoneticPr fontId="18" type="noConversion"/>
  <pageMargins left="0" right="0" top="0" bottom="0" header="0.31496062992125984" footer="0.31496062992125984"/>
  <pageSetup paperSize="9" scale="87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zoomScaleNormal="100" workbookViewId="0">
      <selection activeCell="G15" sqref="G15"/>
    </sheetView>
  </sheetViews>
  <sheetFormatPr defaultRowHeight="15" outlineLevelCol="1" x14ac:dyDescent="0.25"/>
  <cols>
    <col min="1" max="1" width="5" style="1" customWidth="1"/>
    <col min="2" max="2" width="49.5703125" style="1" customWidth="1"/>
    <col min="3" max="3" width="15.85546875" style="1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x14ac:dyDescent="0.25">
      <c r="A7" s="3" t="s">
        <v>2</v>
      </c>
      <c r="F7" s="4" t="s">
        <v>167</v>
      </c>
    </row>
    <row r="8" spans="1:11" s="3" customFormat="1" x14ac:dyDescent="0.25">
      <c r="A8" s="3" t="s">
        <v>3</v>
      </c>
      <c r="F8" s="4" t="s">
        <v>166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5.75" thickBot="1" x14ac:dyDescent="0.3">
      <c r="A13" s="287" t="s">
        <v>240</v>
      </c>
      <c r="B13" s="288"/>
      <c r="C13" s="288"/>
      <c r="D13" s="73">
        <v>137041.57999999999</v>
      </c>
      <c r="E13" s="39"/>
      <c r="F13" s="39"/>
      <c r="G13" s="39"/>
      <c r="H13" s="40"/>
      <c r="I13" s="40"/>
    </row>
    <row r="14" spans="1:11" s="15" customFormat="1" ht="15.75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215</v>
      </c>
      <c r="B15" s="43"/>
      <c r="C15" s="43"/>
      <c r="D15" s="44"/>
      <c r="E15" s="45"/>
      <c r="F15" s="45"/>
      <c r="G15" s="73">
        <v>18546.63</v>
      </c>
      <c r="H15" s="40"/>
      <c r="I15" s="40"/>
    </row>
    <row r="16" spans="1:11" s="15" customFormat="1" ht="15.75" thickBot="1" x14ac:dyDescent="0.3">
      <c r="A16" s="231" t="s">
        <v>214</v>
      </c>
      <c r="B16" s="232"/>
      <c r="C16" s="232"/>
      <c r="D16" s="44"/>
      <c r="E16" s="45"/>
      <c r="F16" s="45"/>
      <c r="G16" s="38">
        <v>-152110.38</v>
      </c>
      <c r="H16" s="40"/>
      <c r="I16" s="40"/>
    </row>
    <row r="17" spans="1:13" s="3" customFormat="1" x14ac:dyDescent="0.25"/>
    <row r="18" spans="1:13" s="18" customFormat="1" ht="38.25" x14ac:dyDescent="0.25">
      <c r="A18" s="6" t="s">
        <v>11</v>
      </c>
      <c r="B18" s="6" t="s">
        <v>12</v>
      </c>
      <c r="C18" s="6" t="s">
        <v>103</v>
      </c>
      <c r="D18" s="6" t="s">
        <v>393</v>
      </c>
      <c r="E18" s="6" t="s">
        <v>249</v>
      </c>
      <c r="F18" s="17" t="s">
        <v>250</v>
      </c>
      <c r="G18" s="6" t="s">
        <v>251</v>
      </c>
    </row>
    <row r="19" spans="1:13" s="190" customFormat="1" ht="14.25" x14ac:dyDescent="0.2">
      <c r="A19" s="187" t="s">
        <v>14</v>
      </c>
      <c r="B19" s="137" t="s">
        <v>15</v>
      </c>
      <c r="C19" s="201">
        <f>SUM(C20:C23)</f>
        <v>12.19</v>
      </c>
      <c r="D19" s="165">
        <v>333894.84000000003</v>
      </c>
      <c r="E19" s="165">
        <v>278367.23</v>
      </c>
      <c r="F19" s="165">
        <f t="shared" ref="F19:F26" si="0">D19</f>
        <v>333894.84000000003</v>
      </c>
      <c r="G19" s="166">
        <f t="shared" ref="G19:G28" si="1">E19-D19</f>
        <v>-55527.610000000044</v>
      </c>
      <c r="H19" s="70">
        <f>C19</f>
        <v>12.19</v>
      </c>
    </row>
    <row r="20" spans="1:13" s="3" customFormat="1" x14ac:dyDescent="0.25">
      <c r="A20" s="8" t="s">
        <v>16</v>
      </c>
      <c r="B20" s="9" t="s">
        <v>17</v>
      </c>
      <c r="C20" s="69">
        <v>3.08</v>
      </c>
      <c r="D20" s="67">
        <f>D19*I20</f>
        <v>84363.913634126351</v>
      </c>
      <c r="E20" s="67">
        <f>E19*I20</f>
        <v>70333.96787530763</v>
      </c>
      <c r="F20" s="67">
        <f t="shared" si="0"/>
        <v>84363.913634126351</v>
      </c>
      <c r="G20" s="68">
        <f t="shared" si="1"/>
        <v>-14029.945758818722</v>
      </c>
      <c r="H20" s="70">
        <f t="shared" ref="H20:H23" si="2">C20</f>
        <v>3.08</v>
      </c>
      <c r="I20" s="15">
        <f>H20/H19</f>
        <v>0.25266611977030357</v>
      </c>
    </row>
    <row r="21" spans="1:13" s="3" customFormat="1" x14ac:dyDescent="0.25">
      <c r="A21" s="8" t="s">
        <v>18</v>
      </c>
      <c r="B21" s="9" t="s">
        <v>19</v>
      </c>
      <c r="C21" s="69">
        <v>4.7</v>
      </c>
      <c r="D21" s="67">
        <f>D19*I21</f>
        <v>128737.1409351928</v>
      </c>
      <c r="E21" s="67">
        <f>E19*I21</f>
        <v>107327.808121411</v>
      </c>
      <c r="F21" s="67">
        <f t="shared" si="0"/>
        <v>128737.1409351928</v>
      </c>
      <c r="G21" s="68">
        <f t="shared" si="1"/>
        <v>-21409.332813781803</v>
      </c>
      <c r="H21" s="70">
        <f t="shared" si="2"/>
        <v>4.7</v>
      </c>
      <c r="I21" s="15">
        <f>H21/H19</f>
        <v>0.38556193601312555</v>
      </c>
    </row>
    <row r="22" spans="1:13" s="3" customFormat="1" x14ac:dyDescent="0.25">
      <c r="A22" s="8" t="s">
        <v>20</v>
      </c>
      <c r="B22" s="9" t="s">
        <v>21</v>
      </c>
      <c r="C22" s="69">
        <v>1.81</v>
      </c>
      <c r="D22" s="67">
        <f>D19*I22</f>
        <v>49577.494700574251</v>
      </c>
      <c r="E22" s="67">
        <f>E19*I22</f>
        <v>41332.623978671043</v>
      </c>
      <c r="F22" s="67">
        <f t="shared" si="0"/>
        <v>49577.494700574251</v>
      </c>
      <c r="G22" s="68">
        <f t="shared" si="1"/>
        <v>-8244.8707219032076</v>
      </c>
      <c r="H22" s="70">
        <f t="shared" si="2"/>
        <v>1.81</v>
      </c>
      <c r="I22" s="15">
        <f>H22/H19</f>
        <v>0.14848236259228878</v>
      </c>
    </row>
    <row r="23" spans="1:13" s="3" customFormat="1" x14ac:dyDescent="0.25">
      <c r="A23" s="8" t="s">
        <v>22</v>
      </c>
      <c r="B23" s="9" t="s">
        <v>23</v>
      </c>
      <c r="C23" s="69">
        <v>2.6</v>
      </c>
      <c r="D23" s="67">
        <f>D19*I23</f>
        <v>71216.290730106659</v>
      </c>
      <c r="E23" s="67">
        <f>E19*I23</f>
        <v>59372.830024610339</v>
      </c>
      <c r="F23" s="67">
        <f t="shared" si="0"/>
        <v>71216.290730106659</v>
      </c>
      <c r="G23" s="68">
        <f t="shared" si="1"/>
        <v>-11843.46070549632</v>
      </c>
      <c r="H23" s="70">
        <f t="shared" si="2"/>
        <v>2.6</v>
      </c>
      <c r="I23" s="15">
        <f>H23/H19</f>
        <v>0.21328958162428222</v>
      </c>
    </row>
    <row r="24" spans="1:13" s="186" customFormat="1" x14ac:dyDescent="0.25">
      <c r="A24" s="137" t="s">
        <v>25</v>
      </c>
      <c r="B24" s="137" t="s">
        <v>26</v>
      </c>
      <c r="C24" s="201">
        <v>3.43</v>
      </c>
      <c r="D24" s="166">
        <v>93950.82</v>
      </c>
      <c r="E24" s="166">
        <v>91942.67</v>
      </c>
      <c r="F24" s="165">
        <f t="shared" si="0"/>
        <v>93950.82</v>
      </c>
      <c r="G24" s="166">
        <f t="shared" si="1"/>
        <v>-2008.1500000000087</v>
      </c>
      <c r="M24" s="238"/>
    </row>
    <row r="25" spans="1:13" s="186" customFormat="1" x14ac:dyDescent="0.25">
      <c r="A25" s="137" t="s">
        <v>27</v>
      </c>
      <c r="B25" s="137" t="s">
        <v>28</v>
      </c>
      <c r="C25" s="201">
        <v>4.5999999999999996</v>
      </c>
      <c r="D25" s="166">
        <v>138881.94</v>
      </c>
      <c r="E25" s="166">
        <v>130726.48</v>
      </c>
      <c r="F25" s="166">
        <f t="shared" si="0"/>
        <v>138881.94</v>
      </c>
      <c r="G25" s="166">
        <f t="shared" si="1"/>
        <v>-8155.4600000000064</v>
      </c>
      <c r="M25" s="238"/>
    </row>
    <row r="26" spans="1:13" s="186" customFormat="1" x14ac:dyDescent="0.25">
      <c r="A26" s="137" t="s">
        <v>29</v>
      </c>
      <c r="B26" s="137" t="s">
        <v>30</v>
      </c>
      <c r="C26" s="201">
        <v>0</v>
      </c>
      <c r="D26" s="166">
        <v>0</v>
      </c>
      <c r="E26" s="166">
        <v>0</v>
      </c>
      <c r="F26" s="166">
        <f t="shared" si="0"/>
        <v>0</v>
      </c>
      <c r="G26" s="166">
        <f t="shared" si="1"/>
        <v>0</v>
      </c>
      <c r="M26" s="238"/>
    </row>
    <row r="27" spans="1:13" s="186" customFormat="1" x14ac:dyDescent="0.25">
      <c r="A27" s="137" t="s">
        <v>31</v>
      </c>
      <c r="B27" s="137" t="s">
        <v>132</v>
      </c>
      <c r="C27" s="201">
        <v>1.82</v>
      </c>
      <c r="D27" s="166">
        <v>49851.54</v>
      </c>
      <c r="E27" s="166">
        <v>49198.93</v>
      </c>
      <c r="F27" s="172">
        <f>F41</f>
        <v>65042.819300000003</v>
      </c>
      <c r="G27" s="166">
        <f t="shared" si="1"/>
        <v>-652.61000000000058</v>
      </c>
      <c r="M27" s="238"/>
    </row>
    <row r="28" spans="1:13" s="186" customFormat="1" x14ac:dyDescent="0.25">
      <c r="A28" s="137" t="s">
        <v>33</v>
      </c>
      <c r="B28" s="137" t="s">
        <v>34</v>
      </c>
      <c r="C28" s="241">
        <v>8.36</v>
      </c>
      <c r="D28" s="166">
        <v>148138.01999999999</v>
      </c>
      <c r="E28" s="166">
        <v>138159.31</v>
      </c>
      <c r="F28" s="172">
        <v>0</v>
      </c>
      <c r="G28" s="166">
        <f t="shared" si="1"/>
        <v>-9978.7099999999919</v>
      </c>
      <c r="M28" s="238"/>
    </row>
    <row r="29" spans="1:13" s="186" customFormat="1" x14ac:dyDescent="0.25">
      <c r="A29" s="137" t="s">
        <v>35</v>
      </c>
      <c r="B29" s="137" t="s">
        <v>36</v>
      </c>
      <c r="C29" s="201">
        <f>SUM(C30:C33)</f>
        <v>0</v>
      </c>
      <c r="D29" s="166">
        <f>SUM(D30:D33)</f>
        <v>1340915.6300000001</v>
      </c>
      <c r="E29" s="166">
        <f>SUM(E30:E33)</f>
        <v>1351951.45</v>
      </c>
      <c r="F29" s="166">
        <f>SUM(F30:F33)</f>
        <v>1340915.6300000001</v>
      </c>
      <c r="G29" s="166">
        <f>SUM(G30:G33)</f>
        <v>11035.819999999861</v>
      </c>
      <c r="M29" s="238"/>
    </row>
    <row r="30" spans="1:13" x14ac:dyDescent="0.25">
      <c r="A30" s="9" t="s">
        <v>37</v>
      </c>
      <c r="B30" s="9" t="s">
        <v>398</v>
      </c>
      <c r="C30" s="237" t="s">
        <v>245</v>
      </c>
      <c r="D30" s="68">
        <v>367425.52</v>
      </c>
      <c r="E30" s="68">
        <v>349204.35</v>
      </c>
      <c r="F30" s="68">
        <f>D30</f>
        <v>367425.52</v>
      </c>
      <c r="G30" s="68">
        <f>E30-D30</f>
        <v>-18221.170000000042</v>
      </c>
    </row>
    <row r="31" spans="1:13" x14ac:dyDescent="0.25">
      <c r="A31" s="9" t="s">
        <v>39</v>
      </c>
      <c r="B31" s="9" t="s">
        <v>171</v>
      </c>
      <c r="C31" s="237" t="s">
        <v>246</v>
      </c>
      <c r="D31" s="68">
        <v>137758.56</v>
      </c>
      <c r="E31" s="68">
        <v>136642.99</v>
      </c>
      <c r="F31" s="68">
        <f>D31</f>
        <v>137758.56</v>
      </c>
      <c r="G31" s="68">
        <f>E31-D31</f>
        <v>-1115.570000000007</v>
      </c>
    </row>
    <row r="32" spans="1:13" s="97" customFormat="1" x14ac:dyDescent="0.25">
      <c r="A32" s="95" t="s">
        <v>42</v>
      </c>
      <c r="B32" s="95" t="s">
        <v>173</v>
      </c>
      <c r="C32" s="236" t="s">
        <v>395</v>
      </c>
      <c r="D32" s="96">
        <v>207429</v>
      </c>
      <c r="E32" s="96">
        <v>206369.67</v>
      </c>
      <c r="F32" s="96">
        <f>D32</f>
        <v>207429</v>
      </c>
      <c r="G32" s="96">
        <f>E32-D32</f>
        <v>-1059.3299999999872</v>
      </c>
      <c r="M32" s="99"/>
    </row>
    <row r="33" spans="1:13" s="97" customFormat="1" ht="15.75" thickBot="1" x14ac:dyDescent="0.3">
      <c r="A33" s="95" t="s">
        <v>41</v>
      </c>
      <c r="B33" s="95" t="s">
        <v>43</v>
      </c>
      <c r="C33" s="236" t="s">
        <v>378</v>
      </c>
      <c r="D33" s="96">
        <v>628302.55000000005</v>
      </c>
      <c r="E33" s="96">
        <v>659734.43999999994</v>
      </c>
      <c r="F33" s="96">
        <f>D33</f>
        <v>628302.55000000005</v>
      </c>
      <c r="G33" s="96">
        <f>E33-D33</f>
        <v>31431.889999999898</v>
      </c>
      <c r="M33" s="99"/>
    </row>
    <row r="34" spans="1:13" s="15" customFormat="1" ht="15.75" thickBot="1" x14ac:dyDescent="0.3">
      <c r="A34" s="287" t="s">
        <v>213</v>
      </c>
      <c r="B34" s="288"/>
      <c r="C34" s="288"/>
      <c r="D34" s="73">
        <f>D13+D19+D24+D25+D26+D27+D28+D29-E19-E24-E25-E26-E27-E28-E29</f>
        <v>202328.30000000028</v>
      </c>
      <c r="E34" s="39"/>
      <c r="F34" s="39"/>
      <c r="G34" s="39"/>
      <c r="H34" s="40"/>
      <c r="I34" s="40"/>
    </row>
    <row r="35" spans="1:13" s="15" customFormat="1" ht="9.7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3" s="15" customFormat="1" ht="15.75" thickBot="1" x14ac:dyDescent="0.3">
      <c r="A36" s="87" t="s">
        <v>214</v>
      </c>
      <c r="B36" s="43"/>
      <c r="C36" s="43"/>
      <c r="D36" s="44"/>
      <c r="E36" s="45"/>
      <c r="F36" s="45"/>
      <c r="G36" s="38">
        <f>G16+E28-F28</f>
        <v>-13951.070000000007</v>
      </c>
      <c r="H36" s="40"/>
      <c r="I36" s="40"/>
    </row>
    <row r="37" spans="1:13" s="15" customFormat="1" ht="15.75" thickBot="1" x14ac:dyDescent="0.3">
      <c r="A37" s="87" t="s">
        <v>215</v>
      </c>
      <c r="B37" s="43"/>
      <c r="C37" s="43"/>
      <c r="D37" s="44"/>
      <c r="E37" s="45"/>
      <c r="F37" s="45"/>
      <c r="G37" s="38">
        <f>G15+E27-F27</f>
        <v>2702.7406999999948</v>
      </c>
      <c r="H37" s="40"/>
      <c r="I37" s="40"/>
    </row>
    <row r="38" spans="1:13" ht="35.25" customHeight="1" x14ac:dyDescent="0.25">
      <c r="A38" s="340" t="s">
        <v>44</v>
      </c>
      <c r="B38" s="340"/>
      <c r="C38" s="340"/>
      <c r="D38" s="340"/>
      <c r="E38" s="340"/>
      <c r="F38" s="340"/>
      <c r="G38" s="340"/>
      <c r="H38" s="340"/>
      <c r="I38" s="340"/>
    </row>
    <row r="40" spans="1:13" s="7" customFormat="1" ht="28.5" customHeight="1" x14ac:dyDescent="0.25">
      <c r="A40" s="5" t="s">
        <v>11</v>
      </c>
      <c r="B40" s="306" t="s">
        <v>45</v>
      </c>
      <c r="C40" s="307"/>
      <c r="D40" s="5" t="s">
        <v>254</v>
      </c>
      <c r="E40" s="5" t="s">
        <v>253</v>
      </c>
      <c r="F40" s="306" t="s">
        <v>46</v>
      </c>
      <c r="G40" s="307"/>
    </row>
    <row r="41" spans="1:13" s="12" customFormat="1" x14ac:dyDescent="0.25">
      <c r="A41" s="11" t="s">
        <v>47</v>
      </c>
      <c r="B41" s="308" t="s">
        <v>127</v>
      </c>
      <c r="C41" s="309"/>
      <c r="D41" s="176"/>
      <c r="E41" s="176"/>
      <c r="F41" s="316">
        <f>SUM(F42:L44)</f>
        <v>65042.819300000003</v>
      </c>
      <c r="G41" s="312"/>
    </row>
    <row r="42" spans="1:13" s="48" customFormat="1" ht="15" customHeight="1" x14ac:dyDescent="0.25">
      <c r="A42" s="9" t="s">
        <v>16</v>
      </c>
      <c r="B42" s="298" t="s">
        <v>417</v>
      </c>
      <c r="C42" s="299"/>
      <c r="D42" s="177"/>
      <c r="E42" s="177"/>
      <c r="F42" s="329">
        <v>7000</v>
      </c>
      <c r="G42" s="330"/>
    </row>
    <row r="43" spans="1:13" s="48" customFormat="1" ht="15" customHeight="1" x14ac:dyDescent="0.25">
      <c r="A43" s="9" t="s">
        <v>18</v>
      </c>
      <c r="B43" s="298" t="s">
        <v>418</v>
      </c>
      <c r="C43" s="299"/>
      <c r="D43" s="177" t="s">
        <v>255</v>
      </c>
      <c r="E43" s="177">
        <v>110</v>
      </c>
      <c r="F43" s="315">
        <v>57550.83</v>
      </c>
      <c r="G43" s="315"/>
    </row>
    <row r="44" spans="1:13" s="48" customFormat="1" x14ac:dyDescent="0.25">
      <c r="A44" s="9" t="s">
        <v>20</v>
      </c>
      <c r="B44" s="229" t="s">
        <v>533</v>
      </c>
      <c r="C44" s="230"/>
      <c r="D44" s="177"/>
      <c r="E44" s="177"/>
      <c r="F44" s="315">
        <f>E27*1%</f>
        <v>491.98930000000001</v>
      </c>
      <c r="G44" s="315"/>
    </row>
    <row r="45" spans="1:13" s="48" customFormat="1" x14ac:dyDescent="0.25">
      <c r="A45" s="3"/>
      <c r="B45" s="3"/>
      <c r="C45" s="3"/>
      <c r="D45" s="3"/>
      <c r="E45" s="3"/>
      <c r="F45" s="3"/>
      <c r="G45" s="3"/>
    </row>
    <row r="46" spans="1:13" s="48" customFormat="1" x14ac:dyDescent="0.25">
      <c r="A46" s="3" t="s">
        <v>55</v>
      </c>
      <c r="B46" s="3"/>
      <c r="C46" s="3" t="s">
        <v>49</v>
      </c>
      <c r="D46" s="3"/>
      <c r="E46" s="3"/>
      <c r="F46" s="3" t="s">
        <v>102</v>
      </c>
      <c r="G46" s="3"/>
    </row>
    <row r="47" spans="1:13" s="48" customFormat="1" x14ac:dyDescent="0.25">
      <c r="A47" s="3"/>
      <c r="B47" s="3"/>
      <c r="C47" s="3"/>
      <c r="D47" s="3"/>
      <c r="E47" s="3"/>
      <c r="F47" s="4" t="s">
        <v>265</v>
      </c>
      <c r="G47" s="3"/>
    </row>
    <row r="48" spans="1:13" s="3" customFormat="1" x14ac:dyDescent="0.25">
      <c r="A48" s="3" t="s">
        <v>50</v>
      </c>
    </row>
    <row r="49" spans="3:7" s="3" customFormat="1" x14ac:dyDescent="0.25">
      <c r="C49" s="14" t="s">
        <v>51</v>
      </c>
      <c r="E49" s="14"/>
      <c r="F49" s="14"/>
      <c r="G49" s="14"/>
    </row>
    <row r="50" spans="3:7" s="3" customFormat="1" x14ac:dyDescent="0.25"/>
    <row r="51" spans="3:7" s="3" customFormat="1" x14ac:dyDescent="0.25"/>
  </sheetData>
  <mergeCells count="19">
    <mergeCell ref="F44:G44"/>
    <mergeCell ref="F42:G42"/>
    <mergeCell ref="F43:G43"/>
    <mergeCell ref="B42:C42"/>
    <mergeCell ref="B43:C43"/>
    <mergeCell ref="F41:G41"/>
    <mergeCell ref="A11:I11"/>
    <mergeCell ref="A1:I1"/>
    <mergeCell ref="A2:I2"/>
    <mergeCell ref="A3:K3"/>
    <mergeCell ref="A5:I5"/>
    <mergeCell ref="A10:I10"/>
    <mergeCell ref="A12:I12"/>
    <mergeCell ref="A13:C13"/>
    <mergeCell ref="A34:C34"/>
    <mergeCell ref="A38:I38"/>
    <mergeCell ref="F40:G40"/>
    <mergeCell ref="B40:C40"/>
    <mergeCell ref="B41:C41"/>
  </mergeCells>
  <phoneticPr fontId="18" type="noConversion"/>
  <pageMargins left="0.7" right="0.7" top="0.75" bottom="0.75" header="0.3" footer="0.3"/>
  <pageSetup paperSize="9" scale="71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B20" sqref="B20"/>
    </sheetView>
  </sheetViews>
  <sheetFormatPr defaultRowHeight="15" outlineLevelCol="1" x14ac:dyDescent="0.25"/>
  <cols>
    <col min="1" max="1" width="5" style="1" customWidth="1"/>
    <col min="2" max="2" width="48.28515625" style="1" customWidth="1"/>
    <col min="3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x14ac:dyDescent="0.25">
      <c r="A7" s="3" t="s">
        <v>2</v>
      </c>
      <c r="F7" s="4" t="s">
        <v>168</v>
      </c>
    </row>
    <row r="8" spans="1:11" s="3" customFormat="1" x14ac:dyDescent="0.25">
      <c r="A8" s="3" t="s">
        <v>3</v>
      </c>
      <c r="F8" s="4" t="s">
        <v>169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5.75" thickBot="1" x14ac:dyDescent="0.3">
      <c r="A13" s="287" t="s">
        <v>240</v>
      </c>
      <c r="B13" s="288"/>
      <c r="C13" s="288"/>
      <c r="D13" s="73">
        <v>159531.07999999999</v>
      </c>
      <c r="E13" s="39"/>
      <c r="F13" s="39"/>
      <c r="G13" s="39"/>
      <c r="H13" s="40"/>
      <c r="I13" s="40"/>
    </row>
    <row r="14" spans="1:11" s="15" customFormat="1" ht="15.75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193</v>
      </c>
      <c r="B15" s="43"/>
      <c r="C15" s="43"/>
      <c r="D15" s="44"/>
      <c r="E15" s="45"/>
      <c r="F15" s="45"/>
      <c r="G15" s="73">
        <v>43688.68</v>
      </c>
      <c r="H15" s="40"/>
      <c r="I15" s="40"/>
    </row>
    <row r="16" spans="1:11" s="3" customFormat="1" x14ac:dyDescent="0.25"/>
    <row r="17" spans="1:13" s="18" customFormat="1" ht="38.25" x14ac:dyDescent="0.25">
      <c r="A17" s="6" t="s">
        <v>11</v>
      </c>
      <c r="B17" s="6" t="s">
        <v>12</v>
      </c>
      <c r="C17" s="6" t="s">
        <v>103</v>
      </c>
      <c r="D17" s="6" t="s">
        <v>393</v>
      </c>
      <c r="E17" s="6" t="s">
        <v>249</v>
      </c>
      <c r="F17" s="17" t="s">
        <v>250</v>
      </c>
      <c r="G17" s="6" t="s">
        <v>251</v>
      </c>
    </row>
    <row r="18" spans="1:13" s="190" customFormat="1" ht="14.25" x14ac:dyDescent="0.2">
      <c r="A18" s="187" t="s">
        <v>14</v>
      </c>
      <c r="B18" s="137" t="s">
        <v>15</v>
      </c>
      <c r="C18" s="201">
        <f>SUM(C19:C22)</f>
        <v>12.06</v>
      </c>
      <c r="D18" s="165">
        <v>809469.96</v>
      </c>
      <c r="E18" s="165">
        <v>746740.06</v>
      </c>
      <c r="F18" s="165">
        <f t="shared" ref="F18:F25" si="0">D18</f>
        <v>809469.96</v>
      </c>
      <c r="G18" s="166">
        <f t="shared" ref="G18:G27" si="1">E18-D18</f>
        <v>-62729.899999999907</v>
      </c>
      <c r="H18" s="167">
        <f>C18</f>
        <v>12.06</v>
      </c>
    </row>
    <row r="19" spans="1:13" s="3" customFormat="1" x14ac:dyDescent="0.25">
      <c r="A19" s="8" t="s">
        <v>16</v>
      </c>
      <c r="B19" s="9" t="s">
        <v>17</v>
      </c>
      <c r="C19" s="69">
        <v>3.08</v>
      </c>
      <c r="D19" s="67">
        <f>D18*I19</f>
        <v>206730.30487562189</v>
      </c>
      <c r="E19" s="67">
        <f>E18*I19</f>
        <v>190709.73339966833</v>
      </c>
      <c r="F19" s="67">
        <f t="shared" si="0"/>
        <v>206730.30487562189</v>
      </c>
      <c r="G19" s="68">
        <f t="shared" si="1"/>
        <v>-16020.571475953562</v>
      </c>
      <c r="H19" s="162">
        <f t="shared" ref="H19:H22" si="2">C19</f>
        <v>3.08</v>
      </c>
      <c r="I19" s="15">
        <f>H19/H18</f>
        <v>0.25538971807628524</v>
      </c>
    </row>
    <row r="20" spans="1:13" s="3" customFormat="1" x14ac:dyDescent="0.25">
      <c r="A20" s="8" t="s">
        <v>18</v>
      </c>
      <c r="B20" s="9" t="s">
        <v>19</v>
      </c>
      <c r="C20" s="69">
        <v>4.57</v>
      </c>
      <c r="D20" s="67">
        <f>D18*I20</f>
        <v>306739.44587064674</v>
      </c>
      <c r="E20" s="67">
        <f>E18*I20</f>
        <v>282968.66286898841</v>
      </c>
      <c r="F20" s="67">
        <f t="shared" si="0"/>
        <v>306739.44587064674</v>
      </c>
      <c r="G20" s="68">
        <f t="shared" si="1"/>
        <v>-23770.783001658332</v>
      </c>
      <c r="H20" s="162">
        <f t="shared" si="2"/>
        <v>4.57</v>
      </c>
      <c r="I20" s="15">
        <f>H20/H18</f>
        <v>0.37893864013266998</v>
      </c>
    </row>
    <row r="21" spans="1:13" s="3" customFormat="1" x14ac:dyDescent="0.25">
      <c r="A21" s="8" t="s">
        <v>20</v>
      </c>
      <c r="B21" s="9" t="s">
        <v>21</v>
      </c>
      <c r="C21" s="69">
        <v>1.81</v>
      </c>
      <c r="D21" s="67">
        <f>D18*I21</f>
        <v>121487.61422885573</v>
      </c>
      <c r="E21" s="67">
        <f>E18*I21</f>
        <v>112072.92774461029</v>
      </c>
      <c r="F21" s="67">
        <f t="shared" si="0"/>
        <v>121487.61422885573</v>
      </c>
      <c r="G21" s="68">
        <f t="shared" si="1"/>
        <v>-9414.6864842454379</v>
      </c>
      <c r="H21" s="162">
        <f t="shared" si="2"/>
        <v>1.81</v>
      </c>
      <c r="I21" s="15">
        <f>H21/H18</f>
        <v>0.15008291873963517</v>
      </c>
    </row>
    <row r="22" spans="1:13" s="3" customFormat="1" x14ac:dyDescent="0.25">
      <c r="A22" s="8" t="s">
        <v>22</v>
      </c>
      <c r="B22" s="9" t="s">
        <v>23</v>
      </c>
      <c r="C22" s="69">
        <v>2.6</v>
      </c>
      <c r="D22" s="67">
        <f>D18*I22</f>
        <v>174512.5950248756</v>
      </c>
      <c r="E22" s="67">
        <f>E18*I22</f>
        <v>160988.73598673299</v>
      </c>
      <c r="F22" s="67">
        <f t="shared" si="0"/>
        <v>174512.5950248756</v>
      </c>
      <c r="G22" s="68">
        <f t="shared" si="1"/>
        <v>-13523.859038142604</v>
      </c>
      <c r="H22" s="162">
        <f t="shared" si="2"/>
        <v>2.6</v>
      </c>
      <c r="I22" s="15">
        <f>H22/H18</f>
        <v>0.21558872305140961</v>
      </c>
    </row>
    <row r="23" spans="1:13" s="186" customFormat="1" x14ac:dyDescent="0.25">
      <c r="A23" s="137" t="s">
        <v>25</v>
      </c>
      <c r="B23" s="137" t="s">
        <v>26</v>
      </c>
      <c r="C23" s="166">
        <v>3.43</v>
      </c>
      <c r="D23" s="166">
        <v>227422.15</v>
      </c>
      <c r="E23" s="166">
        <v>221658.9</v>
      </c>
      <c r="F23" s="165">
        <f t="shared" si="0"/>
        <v>227422.15</v>
      </c>
      <c r="G23" s="166">
        <f t="shared" si="1"/>
        <v>-5763.25</v>
      </c>
      <c r="M23" s="238"/>
    </row>
    <row r="24" spans="1:13" s="186" customFormat="1" x14ac:dyDescent="0.25">
      <c r="A24" s="137" t="s">
        <v>27</v>
      </c>
      <c r="B24" s="137" t="s">
        <v>28</v>
      </c>
      <c r="C24" s="166">
        <v>4.5999999999999996</v>
      </c>
      <c r="D24" s="166">
        <v>312641.76</v>
      </c>
      <c r="E24" s="166">
        <v>304446.15999999997</v>
      </c>
      <c r="F24" s="166">
        <f t="shared" si="0"/>
        <v>312641.76</v>
      </c>
      <c r="G24" s="166">
        <f t="shared" si="1"/>
        <v>-8195.6000000000349</v>
      </c>
      <c r="M24" s="238"/>
    </row>
    <row r="25" spans="1:13" s="186" customFormat="1" x14ac:dyDescent="0.25">
      <c r="A25" s="137" t="s">
        <v>29</v>
      </c>
      <c r="B25" s="137" t="s">
        <v>30</v>
      </c>
      <c r="C25" s="166">
        <v>0</v>
      </c>
      <c r="D25" s="166">
        <v>0</v>
      </c>
      <c r="E25" s="166">
        <v>0</v>
      </c>
      <c r="F25" s="166">
        <f t="shared" si="0"/>
        <v>0</v>
      </c>
      <c r="G25" s="166">
        <f t="shared" si="1"/>
        <v>0</v>
      </c>
      <c r="M25" s="238"/>
    </row>
    <row r="26" spans="1:13" s="186" customFormat="1" x14ac:dyDescent="0.25">
      <c r="A26" s="137" t="s">
        <v>31</v>
      </c>
      <c r="B26" s="137" t="s">
        <v>132</v>
      </c>
      <c r="C26" s="166">
        <v>1.82</v>
      </c>
      <c r="D26" s="166">
        <v>120855.84</v>
      </c>
      <c r="E26" s="166">
        <v>118178.69</v>
      </c>
      <c r="F26" s="172">
        <f>F40</f>
        <v>347109.86690000002</v>
      </c>
      <c r="G26" s="166">
        <f t="shared" si="1"/>
        <v>-2677.1499999999942</v>
      </c>
      <c r="M26" s="238"/>
    </row>
    <row r="27" spans="1:13" s="186" customFormat="1" x14ac:dyDescent="0.25">
      <c r="A27" s="137" t="s">
        <v>33</v>
      </c>
      <c r="B27" s="137" t="s">
        <v>248</v>
      </c>
      <c r="C27" s="172">
        <v>0</v>
      </c>
      <c r="D27" s="166">
        <v>0</v>
      </c>
      <c r="E27" s="166">
        <v>0</v>
      </c>
      <c r="F27" s="172">
        <f>D27</f>
        <v>0</v>
      </c>
      <c r="G27" s="166">
        <f t="shared" si="1"/>
        <v>0</v>
      </c>
      <c r="M27" s="238"/>
    </row>
    <row r="28" spans="1:13" s="186" customFormat="1" x14ac:dyDescent="0.25">
      <c r="A28" s="137" t="s">
        <v>35</v>
      </c>
      <c r="B28" s="137" t="s">
        <v>36</v>
      </c>
      <c r="C28" s="166">
        <f>SUM(C29:C32)</f>
        <v>0</v>
      </c>
      <c r="D28" s="166">
        <f>SUM(D29:D32)</f>
        <v>3476459.9299999997</v>
      </c>
      <c r="E28" s="166">
        <f>SUM(E29:E32)</f>
        <v>3426765.0700000003</v>
      </c>
      <c r="F28" s="166">
        <f>SUM(F29:F32)</f>
        <v>3476459.9299999997</v>
      </c>
      <c r="G28" s="166">
        <f>SUM(G29:G32)</f>
        <v>-49694.85999999987</v>
      </c>
      <c r="M28" s="238"/>
    </row>
    <row r="29" spans="1:13" x14ac:dyDescent="0.25">
      <c r="A29" s="9" t="s">
        <v>37</v>
      </c>
      <c r="B29" s="9" t="s">
        <v>398</v>
      </c>
      <c r="C29" s="237" t="s">
        <v>245</v>
      </c>
      <c r="D29" s="68">
        <v>853180.84</v>
      </c>
      <c r="E29" s="68">
        <v>825626.24</v>
      </c>
      <c r="F29" s="68">
        <f>D29</f>
        <v>853180.84</v>
      </c>
      <c r="G29" s="68">
        <f>E29-D29</f>
        <v>-27554.599999999977</v>
      </c>
    </row>
    <row r="30" spans="1:13" x14ac:dyDescent="0.25">
      <c r="A30" s="9" t="s">
        <v>39</v>
      </c>
      <c r="B30" s="9" t="s">
        <v>171</v>
      </c>
      <c r="C30" s="237" t="s">
        <v>246</v>
      </c>
      <c r="D30" s="68">
        <v>365317.4</v>
      </c>
      <c r="E30" s="68">
        <v>356893.53</v>
      </c>
      <c r="F30" s="68">
        <f>D30</f>
        <v>365317.4</v>
      </c>
      <c r="G30" s="68">
        <f>E30-D30</f>
        <v>-8423.8699999999953</v>
      </c>
    </row>
    <row r="31" spans="1:13" x14ac:dyDescent="0.25">
      <c r="A31" s="9" t="s">
        <v>42</v>
      </c>
      <c r="B31" s="9" t="s">
        <v>173</v>
      </c>
      <c r="C31" s="236" t="s">
        <v>395</v>
      </c>
      <c r="D31" s="68">
        <v>618765.27</v>
      </c>
      <c r="E31" s="68">
        <v>612480.23</v>
      </c>
      <c r="F31" s="68">
        <f>D31</f>
        <v>618765.27</v>
      </c>
      <c r="G31" s="68">
        <f>E31-D31</f>
        <v>-6285.0400000000373</v>
      </c>
    </row>
    <row r="32" spans="1:13" x14ac:dyDescent="0.25">
      <c r="A32" s="9" t="s">
        <v>41</v>
      </c>
      <c r="B32" s="9" t="s">
        <v>43</v>
      </c>
      <c r="C32" s="236" t="s">
        <v>378</v>
      </c>
      <c r="D32" s="68">
        <v>1639196.42</v>
      </c>
      <c r="E32" s="68">
        <v>1631765.07</v>
      </c>
      <c r="F32" s="68">
        <f>D32</f>
        <v>1639196.42</v>
      </c>
      <c r="G32" s="68">
        <f>E32-D32</f>
        <v>-7431.3499999998603</v>
      </c>
    </row>
    <row r="33" spans="1:10" s="20" customFormat="1" ht="14.25" thickBot="1" x14ac:dyDescent="0.3">
      <c r="A33" s="21"/>
      <c r="B33" s="21"/>
      <c r="C33" s="21"/>
      <c r="D33" s="22"/>
      <c r="E33" s="22"/>
      <c r="F33" s="22"/>
      <c r="G33" s="22"/>
      <c r="H33" s="22"/>
      <c r="I33" s="22"/>
      <c r="J33" s="22"/>
    </row>
    <row r="34" spans="1:10" s="15" customFormat="1" ht="15.75" thickBot="1" x14ac:dyDescent="0.3">
      <c r="A34" s="287" t="s">
        <v>241</v>
      </c>
      <c r="B34" s="288"/>
      <c r="C34" s="288"/>
      <c r="D34" s="73">
        <f>D13+D18+D23+D24+D25+D26+D27+D28-E18-E23-E24-E25-E26-E27-E28</f>
        <v>288591.83999999985</v>
      </c>
      <c r="E34" s="39"/>
      <c r="F34" s="39"/>
      <c r="G34" s="39"/>
      <c r="H34" s="40"/>
      <c r="I34" s="40"/>
    </row>
    <row r="35" spans="1:10" s="15" customFormat="1" ht="9.75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0" s="15" customFormat="1" ht="15.75" thickBot="1" x14ac:dyDescent="0.3">
      <c r="A36" s="87" t="s">
        <v>243</v>
      </c>
      <c r="B36" s="43"/>
      <c r="C36" s="43"/>
      <c r="D36" s="44"/>
      <c r="E36" s="45"/>
      <c r="F36" s="45"/>
      <c r="G36" s="38">
        <f>G15+E26-F26</f>
        <v>-185242.49690000003</v>
      </c>
      <c r="H36" s="40"/>
      <c r="I36" s="40"/>
    </row>
    <row r="37" spans="1:10" ht="35.25" customHeight="1" x14ac:dyDescent="0.25">
      <c r="A37" s="340" t="s">
        <v>44</v>
      </c>
      <c r="B37" s="340"/>
      <c r="C37" s="340"/>
      <c r="D37" s="340"/>
      <c r="E37" s="340"/>
      <c r="F37" s="340"/>
      <c r="G37" s="340"/>
      <c r="H37" s="340"/>
      <c r="I37" s="340"/>
    </row>
    <row r="39" spans="1:10" s="7" customFormat="1" ht="28.5" customHeight="1" x14ac:dyDescent="0.25">
      <c r="A39" s="239" t="s">
        <v>11</v>
      </c>
      <c r="B39" s="306" t="s">
        <v>45</v>
      </c>
      <c r="C39" s="307"/>
      <c r="D39" s="239" t="s">
        <v>254</v>
      </c>
      <c r="E39" s="239" t="s">
        <v>253</v>
      </c>
      <c r="F39" s="306" t="s">
        <v>46</v>
      </c>
      <c r="G39" s="307"/>
    </row>
    <row r="40" spans="1:10" s="12" customFormat="1" x14ac:dyDescent="0.25">
      <c r="A40" s="11" t="s">
        <v>47</v>
      </c>
      <c r="B40" s="308" t="s">
        <v>127</v>
      </c>
      <c r="C40" s="309"/>
      <c r="D40" s="176"/>
      <c r="E40" s="176"/>
      <c r="F40" s="316">
        <f>SUM(F41:G47)</f>
        <v>347109.86690000002</v>
      </c>
      <c r="G40" s="312"/>
    </row>
    <row r="41" spans="1:10" s="48" customFormat="1" ht="15" customHeight="1" x14ac:dyDescent="0.25">
      <c r="A41" s="9" t="s">
        <v>16</v>
      </c>
      <c r="B41" s="298" t="s">
        <v>399</v>
      </c>
      <c r="C41" s="299"/>
      <c r="D41" s="177" t="s">
        <v>262</v>
      </c>
      <c r="E41" s="177">
        <v>4</v>
      </c>
      <c r="F41" s="329">
        <v>35364.660000000003</v>
      </c>
      <c r="G41" s="330"/>
    </row>
    <row r="42" spans="1:10" s="48" customFormat="1" ht="15" customHeight="1" x14ac:dyDescent="0.25">
      <c r="A42" s="9" t="s">
        <v>18</v>
      </c>
      <c r="B42" s="298" t="s">
        <v>419</v>
      </c>
      <c r="C42" s="299"/>
      <c r="D42" s="177" t="s">
        <v>262</v>
      </c>
      <c r="E42" s="177">
        <v>1</v>
      </c>
      <c r="F42" s="315">
        <v>5687.42</v>
      </c>
      <c r="G42" s="315"/>
    </row>
    <row r="43" spans="1:10" s="48" customFormat="1" ht="15" customHeight="1" x14ac:dyDescent="0.25">
      <c r="A43" s="9" t="s">
        <v>20</v>
      </c>
      <c r="B43" s="298" t="s">
        <v>420</v>
      </c>
      <c r="C43" s="359"/>
      <c r="D43" s="177" t="s">
        <v>255</v>
      </c>
      <c r="E43" s="177">
        <v>10</v>
      </c>
      <c r="F43" s="315">
        <v>263107</v>
      </c>
      <c r="G43" s="315"/>
    </row>
    <row r="44" spans="1:10" s="48" customFormat="1" ht="15" customHeight="1" x14ac:dyDescent="0.25">
      <c r="A44" s="9" t="s">
        <v>22</v>
      </c>
      <c r="B44" s="298" t="s">
        <v>410</v>
      </c>
      <c r="C44" s="359"/>
      <c r="D44" s="177" t="s">
        <v>262</v>
      </c>
      <c r="E44" s="177">
        <v>4</v>
      </c>
      <c r="F44" s="315">
        <v>16201</v>
      </c>
      <c r="G44" s="315"/>
    </row>
    <row r="45" spans="1:10" s="48" customFormat="1" ht="15" customHeight="1" x14ac:dyDescent="0.25">
      <c r="A45" s="9" t="s">
        <v>24</v>
      </c>
      <c r="B45" s="298" t="s">
        <v>421</v>
      </c>
      <c r="C45" s="359"/>
      <c r="D45" s="177" t="s">
        <v>262</v>
      </c>
      <c r="E45" s="177">
        <v>2</v>
      </c>
      <c r="F45" s="315">
        <v>10568</v>
      </c>
      <c r="G45" s="315"/>
    </row>
    <row r="46" spans="1:10" s="48" customFormat="1" ht="15" customHeight="1" x14ac:dyDescent="0.25">
      <c r="A46" s="9" t="s">
        <v>117</v>
      </c>
      <c r="B46" s="298" t="s">
        <v>547</v>
      </c>
      <c r="C46" s="359"/>
      <c r="D46" s="177"/>
      <c r="E46" s="177"/>
      <c r="F46" s="315">
        <v>15000</v>
      </c>
      <c r="G46" s="315"/>
    </row>
    <row r="47" spans="1:10" s="48" customFormat="1" ht="15" customHeight="1" x14ac:dyDescent="0.25">
      <c r="A47" s="9" t="s">
        <v>118</v>
      </c>
      <c r="B47" s="271" t="s">
        <v>533</v>
      </c>
      <c r="C47" s="198"/>
      <c r="D47" s="246"/>
      <c r="E47" s="246"/>
      <c r="F47" s="317">
        <f>E26*1%</f>
        <v>1181.7869000000001</v>
      </c>
      <c r="G47" s="317"/>
    </row>
    <row r="48" spans="1:10" s="48" customFormat="1" x14ac:dyDescent="0.25">
      <c r="A48" s="50"/>
      <c r="B48" s="51"/>
      <c r="C48" s="51"/>
      <c r="D48" s="51"/>
      <c r="E48" s="51"/>
      <c r="F48" s="52"/>
      <c r="G48" s="52"/>
    </row>
    <row r="49" spans="1:7" s="3" customFormat="1" x14ac:dyDescent="0.25"/>
    <row r="50" spans="1:7" s="3" customFormat="1" x14ac:dyDescent="0.25">
      <c r="A50" s="3" t="s">
        <v>55</v>
      </c>
      <c r="C50" s="3" t="s">
        <v>49</v>
      </c>
      <c r="F50" s="3" t="s">
        <v>102</v>
      </c>
    </row>
    <row r="51" spans="1:7" s="3" customFormat="1" x14ac:dyDescent="0.25">
      <c r="F51" s="4" t="s">
        <v>265</v>
      </c>
    </row>
    <row r="52" spans="1:7" s="3" customFormat="1" x14ac:dyDescent="0.25">
      <c r="A52" s="3" t="s">
        <v>50</v>
      </c>
    </row>
    <row r="53" spans="1:7" s="3" customFormat="1" x14ac:dyDescent="0.25">
      <c r="C53" s="14" t="s">
        <v>51</v>
      </c>
      <c r="E53" s="14"/>
      <c r="F53" s="14"/>
      <c r="G53" s="14"/>
    </row>
    <row r="54" spans="1:7" s="3" customFormat="1" x14ac:dyDescent="0.25"/>
    <row r="55" spans="1:7" s="3" customFormat="1" x14ac:dyDescent="0.25"/>
  </sheetData>
  <mergeCells count="27">
    <mergeCell ref="A11:I11"/>
    <mergeCell ref="A1:I1"/>
    <mergeCell ref="A2:I2"/>
    <mergeCell ref="A3:K3"/>
    <mergeCell ref="A5:I5"/>
    <mergeCell ref="A10:I10"/>
    <mergeCell ref="A12:I12"/>
    <mergeCell ref="F39:G39"/>
    <mergeCell ref="F42:G42"/>
    <mergeCell ref="A13:C13"/>
    <mergeCell ref="F43:G43"/>
    <mergeCell ref="F40:G40"/>
    <mergeCell ref="F41:G41"/>
    <mergeCell ref="A34:C34"/>
    <mergeCell ref="B39:C39"/>
    <mergeCell ref="B40:C40"/>
    <mergeCell ref="B41:C41"/>
    <mergeCell ref="B42:C42"/>
    <mergeCell ref="B43:C43"/>
    <mergeCell ref="F47:G47"/>
    <mergeCell ref="A37:I37"/>
    <mergeCell ref="B44:C44"/>
    <mergeCell ref="F44:G44"/>
    <mergeCell ref="B45:C45"/>
    <mergeCell ref="F45:G45"/>
    <mergeCell ref="B46:C46"/>
    <mergeCell ref="F46:G46"/>
  </mergeCells>
  <phoneticPr fontId="18" type="noConversion"/>
  <pageMargins left="0.7" right="0.7" top="0.75" bottom="0.75" header="0.3" footer="0.3"/>
  <pageSetup paperSize="9" scale="71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F45" sqref="F45"/>
    </sheetView>
  </sheetViews>
  <sheetFormatPr defaultRowHeight="15" outlineLevelCol="1" x14ac:dyDescent="0.25"/>
  <cols>
    <col min="1" max="1" width="5" style="1" customWidth="1"/>
    <col min="2" max="2" width="48.7109375" style="1" customWidth="1"/>
    <col min="3" max="3" width="12.7109375" style="107" customWidth="1"/>
    <col min="4" max="5" width="12.7109375" style="1" customWidth="1"/>
    <col min="6" max="6" width="1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x14ac:dyDescent="0.25">
      <c r="A4" s="2"/>
      <c r="B4" s="2"/>
      <c r="C4" s="100"/>
      <c r="D4" s="2"/>
      <c r="E4" s="2"/>
      <c r="F4" s="2"/>
      <c r="G4" s="2"/>
      <c r="H4" s="2"/>
      <c r="I4" s="2"/>
    </row>
    <row r="5" spans="1:1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x14ac:dyDescent="0.25">
      <c r="A7" s="3" t="s">
        <v>2</v>
      </c>
      <c r="C7" s="101"/>
      <c r="F7" s="4" t="s">
        <v>196</v>
      </c>
    </row>
    <row r="8" spans="1:11" s="3" customFormat="1" x14ac:dyDescent="0.25">
      <c r="A8" s="3" t="s">
        <v>3</v>
      </c>
      <c r="C8" s="101"/>
      <c r="F8" s="108" t="s">
        <v>204</v>
      </c>
    </row>
    <row r="9" spans="1:11" s="3" customFormat="1" x14ac:dyDescent="0.25">
      <c r="C9" s="101"/>
    </row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3" customFormat="1" ht="15.75" thickBot="1" x14ac:dyDescent="0.3">
      <c r="A13" s="287" t="s">
        <v>240</v>
      </c>
      <c r="B13" s="346"/>
      <c r="C13" s="346"/>
      <c r="D13" s="109">
        <v>469118.76</v>
      </c>
      <c r="E13" s="83"/>
      <c r="F13" s="83"/>
      <c r="G13" s="83"/>
      <c r="H13" s="86"/>
      <c r="I13" s="86"/>
    </row>
    <row r="14" spans="1:11" s="3" customFormat="1" ht="15.75" thickBot="1" x14ac:dyDescent="0.3">
      <c r="A14" s="89"/>
      <c r="B14" s="89"/>
      <c r="C14" s="102"/>
      <c r="D14" s="90"/>
      <c r="E14" s="83"/>
      <c r="F14" s="83"/>
      <c r="G14" s="83"/>
      <c r="H14" s="86"/>
      <c r="I14" s="86"/>
    </row>
    <row r="15" spans="1:11" s="3" customFormat="1" ht="15.75" thickBot="1" x14ac:dyDescent="0.3">
      <c r="A15" s="87" t="s">
        <v>215</v>
      </c>
      <c r="B15" s="88"/>
      <c r="C15" s="103"/>
      <c r="D15" s="91"/>
      <c r="E15" s="84"/>
      <c r="F15" s="84"/>
      <c r="G15" s="79">
        <v>-48709.83</v>
      </c>
      <c r="H15" s="86"/>
      <c r="I15" s="86"/>
    </row>
    <row r="16" spans="1:11" s="3" customFormat="1" x14ac:dyDescent="0.25">
      <c r="C16" s="101"/>
    </row>
    <row r="17" spans="1:13" s="18" customFormat="1" ht="38.25" x14ac:dyDescent="0.25">
      <c r="A17" s="6" t="s">
        <v>11</v>
      </c>
      <c r="B17" s="6" t="s">
        <v>12</v>
      </c>
      <c r="C17" s="17" t="s">
        <v>103</v>
      </c>
      <c r="D17" s="6" t="s">
        <v>393</v>
      </c>
      <c r="E17" s="6" t="s">
        <v>249</v>
      </c>
      <c r="F17" s="17" t="s">
        <v>250</v>
      </c>
      <c r="G17" s="6" t="s">
        <v>251</v>
      </c>
    </row>
    <row r="18" spans="1:13" s="190" customFormat="1" ht="14.25" x14ac:dyDescent="0.2">
      <c r="A18" s="187" t="s">
        <v>14</v>
      </c>
      <c r="B18" s="137" t="s">
        <v>15</v>
      </c>
      <c r="C18" s="247">
        <f>C19+C20+C21+C22+C23+C24</f>
        <v>18.350000000000001</v>
      </c>
      <c r="D18" s="165">
        <v>1075245.33</v>
      </c>
      <c r="E18" s="165">
        <v>995336.57</v>
      </c>
      <c r="F18" s="165">
        <f t="shared" ref="F18:F27" si="0">D18</f>
        <v>1075245.33</v>
      </c>
      <c r="G18" s="166">
        <f>E18-D18</f>
        <v>-79908.760000000126</v>
      </c>
      <c r="H18" s="70">
        <f>C18</f>
        <v>18.350000000000001</v>
      </c>
    </row>
    <row r="19" spans="1:13" s="3" customFormat="1" x14ac:dyDescent="0.25">
      <c r="A19" s="8" t="s">
        <v>16</v>
      </c>
      <c r="B19" s="9" t="s">
        <v>17</v>
      </c>
      <c r="C19" s="104">
        <v>3.08</v>
      </c>
      <c r="D19" s="67">
        <f>D18*I19</f>
        <v>180477.1453079019</v>
      </c>
      <c r="E19" s="67">
        <f>E18*I19</f>
        <v>167064.66679019071</v>
      </c>
      <c r="F19" s="67">
        <f t="shared" si="0"/>
        <v>180477.1453079019</v>
      </c>
      <c r="G19" s="68">
        <f t="shared" ref="G19:G29" si="1">E19-D19</f>
        <v>-13412.478517711192</v>
      </c>
      <c r="H19" s="70">
        <f t="shared" ref="H19:H24" si="2">C19</f>
        <v>3.08</v>
      </c>
      <c r="I19" s="3">
        <f>H19/H18</f>
        <v>0.16784741144414167</v>
      </c>
    </row>
    <row r="20" spans="1:13" s="3" customFormat="1" x14ac:dyDescent="0.25">
      <c r="A20" s="8" t="s">
        <v>18</v>
      </c>
      <c r="B20" s="9" t="s">
        <v>19</v>
      </c>
      <c r="C20" s="104">
        <v>1.0900000000000001</v>
      </c>
      <c r="D20" s="67">
        <f>D18*I20</f>
        <v>63870.158566757498</v>
      </c>
      <c r="E20" s="67">
        <f>E18*I20</f>
        <v>59123.534675749317</v>
      </c>
      <c r="F20" s="67">
        <f t="shared" si="0"/>
        <v>63870.158566757498</v>
      </c>
      <c r="G20" s="68">
        <f t="shared" si="1"/>
        <v>-4746.6238910081811</v>
      </c>
      <c r="H20" s="70">
        <f t="shared" si="2"/>
        <v>1.0900000000000001</v>
      </c>
      <c r="I20" s="3">
        <f>H20/H18</f>
        <v>5.9400544959128068E-2</v>
      </c>
    </row>
    <row r="21" spans="1:13" s="3" customFormat="1" x14ac:dyDescent="0.25">
      <c r="A21" s="8" t="s">
        <v>20</v>
      </c>
      <c r="B21" s="9" t="s">
        <v>21</v>
      </c>
      <c r="C21" s="104">
        <v>1.2</v>
      </c>
      <c r="D21" s="67">
        <f>D18*I21</f>
        <v>70315.770899182564</v>
      </c>
      <c r="E21" s="67">
        <f>E18*I21</f>
        <v>65090.12991825612</v>
      </c>
      <c r="F21" s="67">
        <f t="shared" si="0"/>
        <v>70315.770899182564</v>
      </c>
      <c r="G21" s="68">
        <f t="shared" si="1"/>
        <v>-5225.6409809264442</v>
      </c>
      <c r="H21" s="70">
        <f t="shared" si="2"/>
        <v>1.2</v>
      </c>
      <c r="I21" s="3">
        <f>H21/H18</f>
        <v>6.5395095367847406E-2</v>
      </c>
    </row>
    <row r="22" spans="1:13" s="3" customFormat="1" x14ac:dyDescent="0.25">
      <c r="A22" s="8" t="s">
        <v>22</v>
      </c>
      <c r="B22" s="9" t="s">
        <v>23</v>
      </c>
      <c r="C22" s="104">
        <v>2.6</v>
      </c>
      <c r="D22" s="67">
        <f>D18*I22</f>
        <v>152350.83694822888</v>
      </c>
      <c r="E22" s="67">
        <f>E18*I22</f>
        <v>141028.61482288825</v>
      </c>
      <c r="F22" s="67">
        <f t="shared" si="0"/>
        <v>152350.83694822888</v>
      </c>
      <c r="G22" s="68">
        <f>E22-D22</f>
        <v>-11322.222125340631</v>
      </c>
      <c r="H22" s="70">
        <f t="shared" si="2"/>
        <v>2.6</v>
      </c>
      <c r="I22" s="3">
        <f>H22/H18</f>
        <v>0.14168937329700271</v>
      </c>
    </row>
    <row r="23" spans="1:13" s="3" customFormat="1" x14ac:dyDescent="0.25">
      <c r="A23" s="8" t="s">
        <v>24</v>
      </c>
      <c r="B23" s="9" t="s">
        <v>202</v>
      </c>
      <c r="C23" s="104">
        <v>7.15</v>
      </c>
      <c r="D23" s="67">
        <f>D18*I23</f>
        <v>418964.80160762946</v>
      </c>
      <c r="E23" s="67">
        <f>E18*I23</f>
        <v>387828.69076294272</v>
      </c>
      <c r="F23" s="67">
        <f t="shared" si="0"/>
        <v>418964.80160762946</v>
      </c>
      <c r="G23" s="68">
        <f>E23-D23</f>
        <v>-31136.110844686744</v>
      </c>
      <c r="H23" s="70">
        <f t="shared" si="2"/>
        <v>7.15</v>
      </c>
      <c r="I23" s="3">
        <f>H23/H18</f>
        <v>0.38964577656675747</v>
      </c>
    </row>
    <row r="24" spans="1:13" s="3" customFormat="1" x14ac:dyDescent="0.25">
      <c r="A24" s="8" t="s">
        <v>117</v>
      </c>
      <c r="B24" s="9" t="s">
        <v>203</v>
      </c>
      <c r="C24" s="104">
        <v>3.23</v>
      </c>
      <c r="D24" s="67">
        <f>D18*I24</f>
        <v>189266.61667029973</v>
      </c>
      <c r="E24" s="67">
        <f>E18*I24</f>
        <v>175200.93302997274</v>
      </c>
      <c r="F24" s="67">
        <f t="shared" si="0"/>
        <v>189266.61667029973</v>
      </c>
      <c r="G24" s="68">
        <f>E24-D24</f>
        <v>-14065.683640326984</v>
      </c>
      <c r="H24" s="70">
        <f t="shared" si="2"/>
        <v>3.23</v>
      </c>
      <c r="I24" s="3">
        <f>H24/H18</f>
        <v>0.17602179836512261</v>
      </c>
    </row>
    <row r="25" spans="1:13" s="186" customFormat="1" x14ac:dyDescent="0.25">
      <c r="A25" s="137" t="s">
        <v>25</v>
      </c>
      <c r="B25" s="137" t="s">
        <v>26</v>
      </c>
      <c r="C25" s="199">
        <v>3.43</v>
      </c>
      <c r="D25" s="166">
        <v>182344.05</v>
      </c>
      <c r="E25" s="166">
        <v>165434.37</v>
      </c>
      <c r="F25" s="165">
        <f t="shared" si="0"/>
        <v>182344.05</v>
      </c>
      <c r="G25" s="166">
        <f t="shared" si="1"/>
        <v>-16909.679999999993</v>
      </c>
      <c r="M25" s="238"/>
    </row>
    <row r="26" spans="1:13" s="186" customFormat="1" x14ac:dyDescent="0.25">
      <c r="A26" s="137" t="s">
        <v>27</v>
      </c>
      <c r="B26" s="137" t="s">
        <v>28</v>
      </c>
      <c r="C26" s="199">
        <v>4.5999999999999996</v>
      </c>
      <c r="D26" s="166">
        <v>269542.98</v>
      </c>
      <c r="E26" s="166">
        <v>246157.59</v>
      </c>
      <c r="F26" s="166">
        <f t="shared" si="0"/>
        <v>269542.98</v>
      </c>
      <c r="G26" s="166">
        <f t="shared" si="1"/>
        <v>-23385.389999999985</v>
      </c>
      <c r="M26" s="238"/>
    </row>
    <row r="27" spans="1:13" s="186" customFormat="1" x14ac:dyDescent="0.25">
      <c r="A27" s="137" t="s">
        <v>29</v>
      </c>
      <c r="B27" s="137" t="s">
        <v>248</v>
      </c>
      <c r="C27" s="199">
        <v>0</v>
      </c>
      <c r="D27" s="166">
        <v>0</v>
      </c>
      <c r="E27" s="166">
        <v>0</v>
      </c>
      <c r="F27" s="166">
        <f t="shared" si="0"/>
        <v>0</v>
      </c>
      <c r="G27" s="166">
        <f t="shared" si="1"/>
        <v>0</v>
      </c>
      <c r="M27" s="238"/>
    </row>
    <row r="28" spans="1:13" s="186" customFormat="1" x14ac:dyDescent="0.25">
      <c r="A28" s="137" t="s">
        <v>31</v>
      </c>
      <c r="B28" s="137" t="s">
        <v>132</v>
      </c>
      <c r="C28" s="199">
        <v>1.82</v>
      </c>
      <c r="D28" s="166">
        <v>106643.79</v>
      </c>
      <c r="E28" s="166">
        <v>98718.52</v>
      </c>
      <c r="F28" s="172">
        <f>F42</f>
        <v>1385.4151999999999</v>
      </c>
      <c r="G28" s="166">
        <f t="shared" si="1"/>
        <v>-7925.2699999999895</v>
      </c>
      <c r="M28" s="238"/>
    </row>
    <row r="29" spans="1:13" s="186" customFormat="1" x14ac:dyDescent="0.25">
      <c r="A29" s="137" t="s">
        <v>33</v>
      </c>
      <c r="B29" s="137" t="s">
        <v>34</v>
      </c>
      <c r="C29" s="199">
        <v>0</v>
      </c>
      <c r="D29" s="166">
        <v>0</v>
      </c>
      <c r="E29" s="166">
        <v>0</v>
      </c>
      <c r="F29" s="172">
        <v>0</v>
      </c>
      <c r="G29" s="166">
        <f t="shared" si="1"/>
        <v>0</v>
      </c>
      <c r="M29" s="238"/>
    </row>
    <row r="30" spans="1:13" s="186" customFormat="1" x14ac:dyDescent="0.25">
      <c r="A30" s="137" t="s">
        <v>35</v>
      </c>
      <c r="B30" s="137" t="s">
        <v>36</v>
      </c>
      <c r="C30" s="199"/>
      <c r="D30" s="166">
        <f>SUM(D31:D34)</f>
        <v>2089763.22</v>
      </c>
      <c r="E30" s="166">
        <f>SUM(E31:E34)</f>
        <v>1980532.9700000002</v>
      </c>
      <c r="F30" s="166">
        <f>SUM(F31:F34)</f>
        <v>2089763.22</v>
      </c>
      <c r="G30" s="166">
        <f>SUM(G31:G34)</f>
        <v>-109230.24999999988</v>
      </c>
      <c r="M30" s="238"/>
    </row>
    <row r="31" spans="1:13" x14ac:dyDescent="0.25">
      <c r="A31" s="9" t="s">
        <v>37</v>
      </c>
      <c r="B31" s="9" t="s">
        <v>398</v>
      </c>
      <c r="C31" s="248" t="s">
        <v>245</v>
      </c>
      <c r="D31" s="68">
        <v>532906.63</v>
      </c>
      <c r="E31" s="68">
        <v>538916.81000000006</v>
      </c>
      <c r="F31" s="68">
        <f>D31</f>
        <v>532906.63</v>
      </c>
      <c r="G31" s="68">
        <f>E31-D31</f>
        <v>6010.1800000000512</v>
      </c>
    </row>
    <row r="32" spans="1:13" x14ac:dyDescent="0.25">
      <c r="A32" s="9" t="s">
        <v>39</v>
      </c>
      <c r="B32" s="9" t="s">
        <v>171</v>
      </c>
      <c r="C32" s="237" t="s">
        <v>246</v>
      </c>
      <c r="D32" s="68">
        <v>389352.91</v>
      </c>
      <c r="E32" s="68">
        <v>370813.95</v>
      </c>
      <c r="F32" s="68">
        <f>D32</f>
        <v>389352.91</v>
      </c>
      <c r="G32" s="68">
        <f>E32-D32</f>
        <v>-18538.959999999963</v>
      </c>
    </row>
    <row r="33" spans="1:10" x14ac:dyDescent="0.25">
      <c r="A33" s="9" t="s">
        <v>42</v>
      </c>
      <c r="B33" s="9" t="s">
        <v>173</v>
      </c>
      <c r="C33" s="249" t="s">
        <v>423</v>
      </c>
      <c r="D33" s="68">
        <v>387881.23</v>
      </c>
      <c r="E33" s="68">
        <v>363364.88</v>
      </c>
      <c r="F33" s="68">
        <f>D33</f>
        <v>387881.23</v>
      </c>
      <c r="G33" s="68">
        <f>E33-D33</f>
        <v>-24516.349999999977</v>
      </c>
    </row>
    <row r="34" spans="1:10" x14ac:dyDescent="0.25">
      <c r="A34" s="9" t="s">
        <v>41</v>
      </c>
      <c r="B34" s="9" t="s">
        <v>43</v>
      </c>
      <c r="C34" s="110">
        <v>20.51</v>
      </c>
      <c r="D34" s="68">
        <v>779622.45</v>
      </c>
      <c r="E34" s="68">
        <v>707437.33</v>
      </c>
      <c r="F34" s="68">
        <f>D34</f>
        <v>779622.45</v>
      </c>
      <c r="G34" s="68">
        <f>E34-D34</f>
        <v>-72185.119999999995</v>
      </c>
    </row>
    <row r="35" spans="1:10" s="20" customFormat="1" ht="14.25" thickBot="1" x14ac:dyDescent="0.3">
      <c r="A35" s="21"/>
      <c r="B35" s="21"/>
      <c r="C35" s="105"/>
      <c r="D35" s="22"/>
      <c r="E35" s="22"/>
      <c r="F35" s="22"/>
      <c r="G35" s="22"/>
      <c r="H35" s="22"/>
      <c r="I35" s="22"/>
      <c r="J35" s="22"/>
    </row>
    <row r="36" spans="1:10" s="3" customFormat="1" ht="15.75" thickBot="1" x14ac:dyDescent="0.3">
      <c r="A36" s="287" t="s">
        <v>241</v>
      </c>
      <c r="B36" s="346"/>
      <c r="C36" s="346"/>
      <c r="D36" s="79">
        <f>D13+D18+D25+D26+D27+D28+D29+D30-E18-E25-E26-E27-E28-E29-E30</f>
        <v>706478.10999999987</v>
      </c>
      <c r="E36" s="83"/>
      <c r="F36" s="83"/>
      <c r="G36" s="83"/>
      <c r="H36" s="86"/>
      <c r="I36" s="86"/>
    </row>
    <row r="37" spans="1:10" s="3" customFormat="1" ht="10.5" customHeight="1" thickBot="1" x14ac:dyDescent="0.3">
      <c r="A37" s="89"/>
      <c r="B37" s="89"/>
      <c r="C37" s="102"/>
      <c r="D37" s="90"/>
      <c r="E37" s="83"/>
      <c r="F37" s="83"/>
      <c r="G37" s="83"/>
      <c r="H37" s="86"/>
      <c r="I37" s="86"/>
    </row>
    <row r="38" spans="1:10" s="3" customFormat="1" ht="15.75" thickBot="1" x14ac:dyDescent="0.3">
      <c r="A38" s="87" t="s">
        <v>243</v>
      </c>
      <c r="B38" s="88"/>
      <c r="C38" s="103"/>
      <c r="D38" s="91"/>
      <c r="E38" s="84"/>
      <c r="F38" s="84"/>
      <c r="G38" s="93">
        <f>G15+E28-F28</f>
        <v>48623.274799999999</v>
      </c>
      <c r="H38" s="86"/>
      <c r="I38" s="86"/>
    </row>
    <row r="39" spans="1:10" ht="35.25" customHeight="1" x14ac:dyDescent="0.25">
      <c r="A39" s="340" t="s">
        <v>44</v>
      </c>
      <c r="B39" s="340"/>
      <c r="C39" s="340"/>
      <c r="D39" s="340"/>
      <c r="E39" s="340"/>
      <c r="F39" s="340"/>
      <c r="G39" s="340"/>
      <c r="H39" s="340"/>
      <c r="I39" s="340"/>
    </row>
    <row r="41" spans="1:10" s="7" customFormat="1" ht="28.5" customHeight="1" x14ac:dyDescent="0.25">
      <c r="A41" s="239" t="s">
        <v>11</v>
      </c>
      <c r="B41" s="306" t="s">
        <v>45</v>
      </c>
      <c r="C41" s="307"/>
      <c r="D41" s="239" t="s">
        <v>254</v>
      </c>
      <c r="E41" s="239" t="s">
        <v>253</v>
      </c>
      <c r="F41" s="306" t="s">
        <v>46</v>
      </c>
      <c r="G41" s="307"/>
    </row>
    <row r="42" spans="1:10" s="12" customFormat="1" x14ac:dyDescent="0.25">
      <c r="A42" s="11" t="s">
        <v>47</v>
      </c>
      <c r="B42" s="308" t="s">
        <v>127</v>
      </c>
      <c r="C42" s="309"/>
      <c r="D42" s="176"/>
      <c r="E42" s="176"/>
      <c r="F42" s="316">
        <f>SUM(F43:G44)</f>
        <v>1385.4151999999999</v>
      </c>
      <c r="G42" s="312"/>
    </row>
    <row r="43" spans="1:10" ht="15" customHeight="1" x14ac:dyDescent="0.25">
      <c r="A43" s="9" t="s">
        <v>16</v>
      </c>
      <c r="B43" s="298" t="s">
        <v>424</v>
      </c>
      <c r="C43" s="299"/>
      <c r="D43" s="177" t="s">
        <v>262</v>
      </c>
      <c r="E43" s="177">
        <v>2</v>
      </c>
      <c r="F43" s="329">
        <v>398.23</v>
      </c>
      <c r="G43" s="330"/>
    </row>
    <row r="44" spans="1:10" ht="15" customHeight="1" x14ac:dyDescent="0.25">
      <c r="A44" s="9" t="s">
        <v>18</v>
      </c>
      <c r="B44" s="271" t="s">
        <v>533</v>
      </c>
      <c r="C44" s="198"/>
      <c r="D44" s="246"/>
      <c r="E44" s="246"/>
      <c r="F44" s="317">
        <f>E28*1%</f>
        <v>987.18520000000001</v>
      </c>
      <c r="G44" s="317"/>
    </row>
    <row r="45" spans="1:10" x14ac:dyDescent="0.25">
      <c r="A45" s="49"/>
      <c r="B45" s="94"/>
      <c r="C45" s="94"/>
      <c r="D45" s="94"/>
      <c r="E45" s="94"/>
      <c r="F45" s="75"/>
      <c r="G45" s="75"/>
    </row>
    <row r="46" spans="1:10" s="3" customFormat="1" x14ac:dyDescent="0.25">
      <c r="C46" s="101"/>
    </row>
    <row r="47" spans="1:10" s="3" customFormat="1" x14ac:dyDescent="0.25">
      <c r="A47" s="3" t="s">
        <v>55</v>
      </c>
      <c r="C47" s="101" t="s">
        <v>49</v>
      </c>
      <c r="F47" s="3" t="s">
        <v>102</v>
      </c>
    </row>
    <row r="48" spans="1:10" s="3" customFormat="1" x14ac:dyDescent="0.25">
      <c r="C48" s="101"/>
      <c r="F48" s="4" t="s">
        <v>265</v>
      </c>
    </row>
    <row r="49" spans="1:7" s="3" customFormat="1" x14ac:dyDescent="0.25">
      <c r="A49" s="3" t="s">
        <v>50</v>
      </c>
      <c r="C49" s="101"/>
    </row>
    <row r="50" spans="1:7" s="3" customFormat="1" x14ac:dyDescent="0.25">
      <c r="C50" s="106" t="s">
        <v>51</v>
      </c>
      <c r="E50" s="14"/>
      <c r="F50" s="14"/>
      <c r="G50" s="14"/>
    </row>
    <row r="51" spans="1:7" s="3" customFormat="1" x14ac:dyDescent="0.25">
      <c r="C51" s="101"/>
    </row>
    <row r="52" spans="1:7" s="3" customFormat="1" x14ac:dyDescent="0.25">
      <c r="C52" s="101"/>
    </row>
  </sheetData>
  <mergeCells count="17">
    <mergeCell ref="F44:G44"/>
    <mergeCell ref="B41:C41"/>
    <mergeCell ref="B42:C42"/>
    <mergeCell ref="B43:C43"/>
    <mergeCell ref="A39:I39"/>
    <mergeCell ref="F42:G42"/>
    <mergeCell ref="F43:G43"/>
    <mergeCell ref="F41:G41"/>
    <mergeCell ref="A1:I1"/>
    <mergeCell ref="A2:I2"/>
    <mergeCell ref="A3:K3"/>
    <mergeCell ref="A5:I5"/>
    <mergeCell ref="A36:C36"/>
    <mergeCell ref="A10:I10"/>
    <mergeCell ref="A11:I11"/>
    <mergeCell ref="A12:I12"/>
    <mergeCell ref="A13:C13"/>
  </mergeCells>
  <phoneticPr fontId="18" type="noConversion"/>
  <pageMargins left="0.7" right="0.7" top="0.75" bottom="0.75" header="0.3" footer="0.3"/>
  <pageSetup paperSize="9" scale="62" orientation="portrait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G36" sqref="G36"/>
    </sheetView>
  </sheetViews>
  <sheetFormatPr defaultRowHeight="12.75" outlineLevelCol="1" x14ac:dyDescent="0.2"/>
  <cols>
    <col min="1" max="1" width="5.7109375" style="23" customWidth="1"/>
    <col min="2" max="2" width="49.85546875" style="23" customWidth="1"/>
    <col min="3" max="3" width="13.28515625" style="23" customWidth="1"/>
    <col min="4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216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217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240</v>
      </c>
      <c r="B12" s="288"/>
      <c r="C12" s="288"/>
      <c r="D12" s="73">
        <v>65959.61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87" t="s">
        <v>215</v>
      </c>
      <c r="B14" s="43"/>
      <c r="C14" s="43"/>
      <c r="D14" s="44"/>
      <c r="E14" s="45"/>
      <c r="F14" s="45"/>
      <c r="G14" s="73">
        <v>31506.44</v>
      </c>
      <c r="H14" s="40"/>
      <c r="I14" s="40"/>
    </row>
    <row r="15" spans="1:13" s="25" customFormat="1" ht="6.75" customHeight="1" x14ac:dyDescent="0.2"/>
    <row r="16" spans="1:13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393</v>
      </c>
      <c r="E16" s="6" t="s">
        <v>249</v>
      </c>
      <c r="F16" s="17" t="s">
        <v>250</v>
      </c>
      <c r="G16" s="6" t="s">
        <v>251</v>
      </c>
    </row>
    <row r="17" spans="1:16" s="168" customFormat="1" ht="14.25" x14ac:dyDescent="0.2">
      <c r="A17" s="163" t="s">
        <v>14</v>
      </c>
      <c r="B17" s="137" t="s">
        <v>15</v>
      </c>
      <c r="C17" s="166">
        <f>C18+C19+C20+C21</f>
        <v>8.5500000000000007</v>
      </c>
      <c r="D17" s="165">
        <v>214857</v>
      </c>
      <c r="E17" s="165">
        <v>220212.18</v>
      </c>
      <c r="F17" s="165">
        <f>D17</f>
        <v>214857</v>
      </c>
      <c r="G17" s="166">
        <f>E17-D17</f>
        <v>5355.179999999993</v>
      </c>
      <c r="H17" s="70">
        <f>C17</f>
        <v>8.5500000000000007</v>
      </c>
      <c r="O17" s="167"/>
      <c r="P17" s="169"/>
    </row>
    <row r="18" spans="1:16" s="25" customFormat="1" ht="15" x14ac:dyDescent="0.25">
      <c r="A18" s="27" t="s">
        <v>16</v>
      </c>
      <c r="B18" s="9" t="s">
        <v>17</v>
      </c>
      <c r="C18" s="68">
        <v>3.08</v>
      </c>
      <c r="D18" s="67">
        <f>D17*I18</f>
        <v>77398.778947368424</v>
      </c>
      <c r="E18" s="67">
        <f>E17*I18</f>
        <v>79327.896421052632</v>
      </c>
      <c r="F18" s="67">
        <f>D18</f>
        <v>77398.778947368424</v>
      </c>
      <c r="G18" s="68">
        <f t="shared" ref="G18:G26" si="0">E18-D18</f>
        <v>1929.1174736842077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27" t="s">
        <v>18</v>
      </c>
      <c r="B19" s="9" t="s">
        <v>19</v>
      </c>
      <c r="C19" s="68">
        <v>1.51</v>
      </c>
      <c r="D19" s="67">
        <f>D17*I19</f>
        <v>37945.505263157895</v>
      </c>
      <c r="E19" s="67">
        <f>E17*I19</f>
        <v>38891.273894736834</v>
      </c>
      <c r="F19" s="67">
        <f>D19</f>
        <v>37945.505263157895</v>
      </c>
      <c r="G19" s="68">
        <f t="shared" si="0"/>
        <v>945.76863157893968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27" t="s">
        <v>20</v>
      </c>
      <c r="B20" s="9" t="s">
        <v>21</v>
      </c>
      <c r="C20" s="68">
        <v>1.36</v>
      </c>
      <c r="D20" s="67">
        <f>D17*I20</f>
        <v>34176.084210526315</v>
      </c>
      <c r="E20" s="67">
        <f>E17*I20</f>
        <v>35027.90231578947</v>
      </c>
      <c r="F20" s="67">
        <f>D20</f>
        <v>34176.084210526315</v>
      </c>
      <c r="G20" s="68">
        <f t="shared" si="0"/>
        <v>851.8181052631553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27" t="s">
        <v>22</v>
      </c>
      <c r="B21" s="9" t="s">
        <v>23</v>
      </c>
      <c r="C21" s="68">
        <v>2.6</v>
      </c>
      <c r="D21" s="67">
        <f>D17*I21</f>
        <v>65336.631578947367</v>
      </c>
      <c r="E21" s="67">
        <f>E17*I21</f>
        <v>66965.107368421042</v>
      </c>
      <c r="F21" s="67">
        <f>D21</f>
        <v>65336.631578947367</v>
      </c>
      <c r="G21" s="68">
        <f t="shared" si="0"/>
        <v>1628.4757894736758</v>
      </c>
      <c r="H21" s="70">
        <f t="shared" si="1"/>
        <v>2.6</v>
      </c>
      <c r="I21" s="32">
        <f>H21/H17</f>
        <v>0.30409356725146197</v>
      </c>
    </row>
    <row r="22" spans="1:16" s="173" customFormat="1" ht="14.25" x14ac:dyDescent="0.2">
      <c r="A22" s="170" t="s">
        <v>25</v>
      </c>
      <c r="B22" s="227" t="s">
        <v>26</v>
      </c>
      <c r="C22" s="172">
        <v>3.43</v>
      </c>
      <c r="D22" s="172">
        <v>0</v>
      </c>
      <c r="E22" s="172">
        <v>0</v>
      </c>
      <c r="F22" s="172">
        <v>0</v>
      </c>
      <c r="G22" s="172">
        <f t="shared" si="0"/>
        <v>0</v>
      </c>
    </row>
    <row r="23" spans="1:16" s="173" customFormat="1" ht="14.25" x14ac:dyDescent="0.2">
      <c r="A23" s="170" t="s">
        <v>27</v>
      </c>
      <c r="B23" s="227" t="s">
        <v>28</v>
      </c>
      <c r="C23" s="172">
        <v>4.5999999999999996</v>
      </c>
      <c r="D23" s="172">
        <v>119403.12</v>
      </c>
      <c r="E23" s="172">
        <v>119169.33</v>
      </c>
      <c r="F23" s="172">
        <f>D23</f>
        <v>119403.12</v>
      </c>
      <c r="G23" s="172">
        <f t="shared" si="0"/>
        <v>-233.7899999999936</v>
      </c>
    </row>
    <row r="24" spans="1:16" s="173" customFormat="1" ht="14.25" x14ac:dyDescent="0.2">
      <c r="A24" s="170" t="s">
        <v>29</v>
      </c>
      <c r="B24" s="227" t="s">
        <v>248</v>
      </c>
      <c r="C24" s="172">
        <v>1755.25</v>
      </c>
      <c r="D24" s="172">
        <v>6130.98</v>
      </c>
      <c r="E24" s="172">
        <v>5872.63</v>
      </c>
      <c r="F24" s="172">
        <f>D24</f>
        <v>6130.98</v>
      </c>
      <c r="G24" s="172">
        <f t="shared" si="0"/>
        <v>-258.34999999999945</v>
      </c>
    </row>
    <row r="25" spans="1:16" s="173" customFormat="1" ht="14.25" x14ac:dyDescent="0.2">
      <c r="A25" s="170" t="s">
        <v>31</v>
      </c>
      <c r="B25" s="227" t="s">
        <v>132</v>
      </c>
      <c r="C25" s="172">
        <v>4.5</v>
      </c>
      <c r="D25" s="172">
        <v>112233.60000000001</v>
      </c>
      <c r="E25" s="172">
        <v>116737.82</v>
      </c>
      <c r="F25" s="172">
        <f>F42</f>
        <v>144165.70820000002</v>
      </c>
      <c r="G25" s="172">
        <f>E25-D25</f>
        <v>4504.2200000000012</v>
      </c>
    </row>
    <row r="26" spans="1:16" s="37" customFormat="1" ht="14.25" x14ac:dyDescent="0.2">
      <c r="A26" s="36" t="s">
        <v>33</v>
      </c>
      <c r="B26" s="137" t="s">
        <v>34</v>
      </c>
      <c r="C26" s="166">
        <v>0</v>
      </c>
      <c r="D26" s="166">
        <v>167129.17000000001</v>
      </c>
      <c r="E26" s="166">
        <v>162492.26999999999</v>
      </c>
      <c r="F26" s="172">
        <f>F48</f>
        <v>183116.12</v>
      </c>
      <c r="G26" s="166">
        <f t="shared" si="0"/>
        <v>-4636.9000000000233</v>
      </c>
    </row>
    <row r="27" spans="1:16" s="37" customFormat="1" ht="14.25" x14ac:dyDescent="0.2">
      <c r="A27" s="36" t="s">
        <v>35</v>
      </c>
      <c r="B27" s="137" t="s">
        <v>36</v>
      </c>
      <c r="C27" s="201">
        <v>0</v>
      </c>
      <c r="D27" s="166">
        <f>SUM(D28:D31)</f>
        <v>892856.79</v>
      </c>
      <c r="E27" s="166">
        <f>SUM(E28:E31)</f>
        <v>895095.89999999991</v>
      </c>
      <c r="F27" s="166">
        <f>SUM(F28:F31)</f>
        <v>892856.79</v>
      </c>
      <c r="G27" s="166">
        <f>SUM(G28:G31)</f>
        <v>2239.1100000000024</v>
      </c>
    </row>
    <row r="28" spans="1:16" ht="15" x14ac:dyDescent="0.25">
      <c r="A28" s="28" t="s">
        <v>37</v>
      </c>
      <c r="B28" s="9" t="s">
        <v>398</v>
      </c>
      <c r="C28" s="250" t="s">
        <v>422</v>
      </c>
      <c r="D28" s="68">
        <v>8619.2999999999993</v>
      </c>
      <c r="E28" s="68">
        <v>8379.4699999999993</v>
      </c>
      <c r="F28" s="68">
        <f>D28</f>
        <v>8619.2999999999993</v>
      </c>
      <c r="G28" s="68">
        <f>E28-D28</f>
        <v>-239.82999999999993</v>
      </c>
    </row>
    <row r="29" spans="1:16" ht="15" x14ac:dyDescent="0.25">
      <c r="A29" s="28" t="s">
        <v>39</v>
      </c>
      <c r="B29" s="9" t="s">
        <v>171</v>
      </c>
      <c r="C29" s="250" t="s">
        <v>246</v>
      </c>
      <c r="D29" s="68">
        <v>314125.65000000002</v>
      </c>
      <c r="E29" s="68">
        <v>308996.93</v>
      </c>
      <c r="F29" s="68">
        <f>D29</f>
        <v>314125.65000000002</v>
      </c>
      <c r="G29" s="68">
        <f>E29-D29</f>
        <v>-5128.7200000000303</v>
      </c>
    </row>
    <row r="30" spans="1:16" ht="15" x14ac:dyDescent="0.25">
      <c r="A30" s="28" t="s">
        <v>42</v>
      </c>
      <c r="B30" s="9" t="s">
        <v>173</v>
      </c>
      <c r="C30" s="134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28" t="s">
        <v>41</v>
      </c>
      <c r="B31" s="9" t="s">
        <v>43</v>
      </c>
      <c r="C31" s="250" t="s">
        <v>247</v>
      </c>
      <c r="D31" s="68">
        <v>570111.84</v>
      </c>
      <c r="E31" s="68">
        <v>577719.5</v>
      </c>
      <c r="F31" s="68">
        <f>D31</f>
        <v>570111.84</v>
      </c>
      <c r="G31" s="68">
        <f>E31-D31</f>
        <v>7607.6600000000326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D12+D17+D22+D23+D24+D25+D26+D27-E17-E22-E23-E24-E25-E26-E27</f>
        <v>58990.14000000013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87" t="s">
        <v>242</v>
      </c>
      <c r="B35" s="43"/>
      <c r="C35" s="43"/>
      <c r="D35" s="44"/>
      <c r="E35" s="45"/>
      <c r="F35" s="45"/>
      <c r="G35" s="38">
        <f>E26-F26</f>
        <v>-20623.850000000006</v>
      </c>
      <c r="H35" s="40"/>
      <c r="I35" s="40"/>
    </row>
    <row r="36" spans="1:14" s="20" customFormat="1" ht="14.25" thickBot="1" x14ac:dyDescent="0.3">
      <c r="A36" s="138" t="s">
        <v>243</v>
      </c>
      <c r="B36" s="139"/>
      <c r="C36" s="139"/>
      <c r="D36" s="44"/>
      <c r="E36" s="45"/>
      <c r="F36" s="45"/>
      <c r="G36" s="38">
        <f>G14+E25-F25</f>
        <v>4078.5517999999865</v>
      </c>
      <c r="H36" s="22"/>
      <c r="I36" s="22"/>
      <c r="J36" s="22"/>
      <c r="K36" s="22"/>
      <c r="L36" s="22"/>
      <c r="M36" s="22"/>
    </row>
    <row r="37" spans="1:14" s="20" customFormat="1" ht="9.75" customHeight="1" x14ac:dyDescent="0.2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  <c r="L37" s="22"/>
      <c r="M37" s="22"/>
    </row>
    <row r="38" spans="1:14" s="20" customFormat="1" ht="9.75" customHeight="1" x14ac:dyDescent="0.25">
      <c r="A38" s="21"/>
      <c r="B38" s="21"/>
      <c r="C38" s="21"/>
      <c r="D38" s="21"/>
      <c r="E38" s="22"/>
      <c r="F38" s="22"/>
      <c r="G38" s="22"/>
      <c r="H38" s="22"/>
      <c r="I38" s="22"/>
      <c r="J38" s="22"/>
      <c r="K38" s="22"/>
      <c r="L38" s="22"/>
      <c r="M38" s="22"/>
    </row>
    <row r="39" spans="1:14" ht="23.25" customHeight="1" x14ac:dyDescent="0.2">
      <c r="A39" s="289" t="s">
        <v>44</v>
      </c>
      <c r="B39" s="289"/>
      <c r="C39" s="289"/>
      <c r="D39" s="289"/>
      <c r="E39" s="289"/>
      <c r="F39" s="289"/>
      <c r="G39" s="289"/>
      <c r="H39" s="289"/>
      <c r="I39" s="289"/>
      <c r="J39" s="289"/>
      <c r="K39" s="289"/>
    </row>
    <row r="41" spans="1:14" s="18" customFormat="1" ht="28.5" x14ac:dyDescent="0.2">
      <c r="A41" s="245" t="s">
        <v>11</v>
      </c>
      <c r="B41" s="306" t="s">
        <v>45</v>
      </c>
      <c r="C41" s="307"/>
      <c r="D41" s="245" t="s">
        <v>254</v>
      </c>
      <c r="E41" s="245" t="s">
        <v>253</v>
      </c>
      <c r="F41" s="306" t="s">
        <v>46</v>
      </c>
      <c r="G41" s="307"/>
      <c r="H41" s="57"/>
      <c r="I41" s="58"/>
      <c r="N41" s="54"/>
    </row>
    <row r="42" spans="1:14" s="12" customFormat="1" ht="15" x14ac:dyDescent="0.25">
      <c r="A42" s="11" t="s">
        <v>47</v>
      </c>
      <c r="B42" s="308" t="s">
        <v>127</v>
      </c>
      <c r="C42" s="309"/>
      <c r="D42" s="176"/>
      <c r="E42" s="176"/>
      <c r="F42" s="316">
        <f>SUM(F43:G47)</f>
        <v>144165.70820000002</v>
      </c>
      <c r="G42" s="312"/>
      <c r="H42" s="59"/>
      <c r="I42" s="60"/>
      <c r="N42" s="55"/>
    </row>
    <row r="43" spans="1:14" ht="15" x14ac:dyDescent="0.25">
      <c r="A43" s="9" t="s">
        <v>16</v>
      </c>
      <c r="B43" s="298" t="s">
        <v>425</v>
      </c>
      <c r="C43" s="299"/>
      <c r="D43" s="177"/>
      <c r="E43" s="177"/>
      <c r="F43" s="329">
        <v>2695.07</v>
      </c>
      <c r="G43" s="330"/>
      <c r="H43" s="61"/>
      <c r="I43" s="62"/>
      <c r="N43" s="56"/>
    </row>
    <row r="44" spans="1:14" ht="15" x14ac:dyDescent="0.25">
      <c r="A44" s="9" t="s">
        <v>18</v>
      </c>
      <c r="B44" s="298" t="s">
        <v>349</v>
      </c>
      <c r="C44" s="299"/>
      <c r="D44" s="177" t="s">
        <v>295</v>
      </c>
      <c r="E44" s="177">
        <v>7.2</v>
      </c>
      <c r="F44" s="315">
        <v>21975.97</v>
      </c>
      <c r="G44" s="315"/>
      <c r="H44" s="61"/>
      <c r="I44" s="62"/>
      <c r="N44" s="56"/>
    </row>
    <row r="45" spans="1:14" ht="15" x14ac:dyDescent="0.25">
      <c r="A45" s="9" t="s">
        <v>20</v>
      </c>
      <c r="B45" s="298" t="s">
        <v>545</v>
      </c>
      <c r="C45" s="299"/>
      <c r="D45" s="177"/>
      <c r="E45" s="177"/>
      <c r="F45" s="315">
        <v>12496.29</v>
      </c>
      <c r="G45" s="315"/>
      <c r="H45" s="90"/>
      <c r="I45" s="90"/>
      <c r="N45" s="56"/>
    </row>
    <row r="46" spans="1:14" ht="15" x14ac:dyDescent="0.25">
      <c r="A46" s="9" t="s">
        <v>22</v>
      </c>
      <c r="B46" s="277" t="s">
        <v>154</v>
      </c>
      <c r="C46" s="278"/>
      <c r="D46" s="177"/>
      <c r="E46" s="177"/>
      <c r="F46" s="315">
        <v>105831</v>
      </c>
      <c r="G46" s="315"/>
      <c r="H46" s="90"/>
      <c r="I46" s="90"/>
      <c r="N46" s="56"/>
    </row>
    <row r="47" spans="1:14" s="3" customFormat="1" ht="15" x14ac:dyDescent="0.25">
      <c r="A47" s="9" t="s">
        <v>24</v>
      </c>
      <c r="B47" s="271" t="s">
        <v>533</v>
      </c>
      <c r="C47" s="198"/>
      <c r="D47" s="246"/>
      <c r="E47" s="246"/>
      <c r="F47" s="317">
        <f>E25*1%</f>
        <v>1167.3782000000001</v>
      </c>
      <c r="G47" s="317"/>
    </row>
    <row r="48" spans="1:14" s="3" customFormat="1" ht="15" x14ac:dyDescent="0.25">
      <c r="A48" s="136">
        <v>2</v>
      </c>
      <c r="B48" s="308" t="s">
        <v>34</v>
      </c>
      <c r="C48" s="309"/>
      <c r="D48" s="176"/>
      <c r="E48" s="176"/>
      <c r="F48" s="316">
        <f>SUM(F49)</f>
        <v>183116.12</v>
      </c>
      <c r="G48" s="312"/>
    </row>
    <row r="49" spans="1:7" s="3" customFormat="1" ht="26.25" customHeight="1" x14ac:dyDescent="0.25">
      <c r="A49" s="9" t="s">
        <v>104</v>
      </c>
      <c r="B49" s="298" t="s">
        <v>524</v>
      </c>
      <c r="C49" s="299"/>
      <c r="D49" s="177" t="s">
        <v>255</v>
      </c>
      <c r="E49" s="177">
        <v>3.8</v>
      </c>
      <c r="F49" s="329">
        <v>183116.12</v>
      </c>
      <c r="G49" s="330"/>
    </row>
    <row r="50" spans="1:7" s="25" customFormat="1" x14ac:dyDescent="0.2"/>
    <row r="51" spans="1:7" s="25" customFormat="1" ht="15" x14ac:dyDescent="0.25">
      <c r="A51" s="3" t="s">
        <v>55</v>
      </c>
      <c r="B51" s="3"/>
      <c r="C51" s="101" t="s">
        <v>49</v>
      </c>
      <c r="D51" s="3"/>
      <c r="E51" s="3"/>
      <c r="F51" s="3" t="s">
        <v>102</v>
      </c>
      <c r="G51" s="3"/>
    </row>
    <row r="52" spans="1:7" ht="15" x14ac:dyDescent="0.25">
      <c r="A52" s="3"/>
      <c r="B52" s="3"/>
      <c r="C52" s="101"/>
      <c r="D52" s="3"/>
      <c r="E52" s="3"/>
      <c r="F52" s="4" t="s">
        <v>265</v>
      </c>
      <c r="G52" s="3"/>
    </row>
    <row r="53" spans="1:7" ht="15" x14ac:dyDescent="0.25">
      <c r="A53" s="3" t="s">
        <v>50</v>
      </c>
      <c r="B53" s="3"/>
      <c r="C53" s="101"/>
      <c r="D53" s="3"/>
      <c r="E53" s="3"/>
      <c r="F53" s="3"/>
      <c r="G53" s="3"/>
    </row>
    <row r="54" spans="1:7" ht="15" x14ac:dyDescent="0.25">
      <c r="A54" s="3"/>
      <c r="B54" s="3"/>
      <c r="C54" s="106" t="s">
        <v>51</v>
      </c>
      <c r="D54" s="3"/>
      <c r="E54" s="14"/>
      <c r="F54" s="14"/>
      <c r="G54" s="14"/>
    </row>
  </sheetData>
  <mergeCells count="26">
    <mergeCell ref="B49:C49"/>
    <mergeCell ref="F49:G49"/>
    <mergeCell ref="F47:G47"/>
    <mergeCell ref="F46:G46"/>
    <mergeCell ref="A33:C33"/>
    <mergeCell ref="A39:K39"/>
    <mergeCell ref="B41:C41"/>
    <mergeCell ref="F41:G41"/>
    <mergeCell ref="B48:C48"/>
    <mergeCell ref="F48:G48"/>
    <mergeCell ref="B45:C45"/>
    <mergeCell ref="F45:G45"/>
    <mergeCell ref="B42:C42"/>
    <mergeCell ref="F42:G42"/>
    <mergeCell ref="B43:C43"/>
    <mergeCell ref="F43:G43"/>
    <mergeCell ref="A1:K1"/>
    <mergeCell ref="A2:K2"/>
    <mergeCell ref="A3:K3"/>
    <mergeCell ref="A5:K5"/>
    <mergeCell ref="A9:K9"/>
    <mergeCell ref="B44:C44"/>
    <mergeCell ref="F44:G44"/>
    <mergeCell ref="A11:K11"/>
    <mergeCell ref="A12:C12"/>
    <mergeCell ref="A10:K1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F42" sqref="F42"/>
    </sheetView>
  </sheetViews>
  <sheetFormatPr defaultRowHeight="12.75" outlineLevelCol="1" x14ac:dyDescent="0.2"/>
  <cols>
    <col min="1" max="1" width="4.85546875" style="23" customWidth="1"/>
    <col min="2" max="2" width="50.28515625" style="23" customWidth="1"/>
    <col min="3" max="3" width="15.85546875" style="23" customWidth="1"/>
    <col min="4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426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427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428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429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168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62971.1</v>
      </c>
      <c r="E17" s="165">
        <v>62971.17</v>
      </c>
      <c r="F17" s="165">
        <f>D17</f>
        <v>62971.1</v>
      </c>
      <c r="G17" s="166">
        <f>E17-D17</f>
        <v>6.9999999999708962E-2</v>
      </c>
      <c r="H17" s="70">
        <f>C17</f>
        <v>8.5500000000000007</v>
      </c>
      <c r="O17" s="167"/>
      <c r="P17" s="169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22684.326081871342</v>
      </c>
      <c r="E18" s="67">
        <f>E17*I18</f>
        <v>22684.351298245612</v>
      </c>
      <c r="F18" s="67">
        <f>D18</f>
        <v>22684.326081871342</v>
      </c>
      <c r="G18" s="68">
        <f t="shared" ref="G18:G26" si="0">E18-D18</f>
        <v>2.5216374269803055E-2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11121.211812865497</v>
      </c>
      <c r="E19" s="67">
        <f>E17*I19</f>
        <v>11121.224175438596</v>
      </c>
      <c r="F19" s="67">
        <f>D19</f>
        <v>11121.211812865497</v>
      </c>
      <c r="G19" s="68">
        <f t="shared" si="0"/>
        <v>1.2362573099380825E-2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10016.455672514619</v>
      </c>
      <c r="E20" s="67">
        <f>E17*I20</f>
        <v>10016.466807017543</v>
      </c>
      <c r="F20" s="67">
        <f>D20</f>
        <v>10016.455672514619</v>
      </c>
      <c r="G20" s="68">
        <f t="shared" si="0"/>
        <v>1.1134502923596301E-2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19149.106432748536</v>
      </c>
      <c r="E21" s="67">
        <f>E17*I21</f>
        <v>19149.127719298245</v>
      </c>
      <c r="F21" s="67">
        <f>D21</f>
        <v>19149.106432748536</v>
      </c>
      <c r="G21" s="68">
        <f t="shared" si="0"/>
        <v>2.1286549708747771E-2</v>
      </c>
      <c r="H21" s="70">
        <f t="shared" si="1"/>
        <v>2.6</v>
      </c>
      <c r="I21" s="32">
        <f>H21/H17</f>
        <v>0.30409356725146197</v>
      </c>
    </row>
    <row r="22" spans="1:16" s="173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</row>
    <row r="23" spans="1:16" s="173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33879</v>
      </c>
      <c r="E23" s="172">
        <v>33879.03</v>
      </c>
      <c r="F23" s="172">
        <f>D23</f>
        <v>33879</v>
      </c>
      <c r="G23" s="172">
        <f t="shared" si="0"/>
        <v>2.9999999998835847E-2</v>
      </c>
    </row>
    <row r="24" spans="1:16" s="173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</row>
    <row r="25" spans="1:16" s="173" customFormat="1" ht="14.25" x14ac:dyDescent="0.2">
      <c r="A25" s="227" t="s">
        <v>31</v>
      </c>
      <c r="B25" s="227" t="s">
        <v>132</v>
      </c>
      <c r="C25" s="172">
        <v>1.65</v>
      </c>
      <c r="D25" s="172">
        <v>12152.6</v>
      </c>
      <c r="E25" s="172">
        <v>12152.61</v>
      </c>
      <c r="F25" s="172">
        <f>F40</f>
        <v>121.52610000000001</v>
      </c>
      <c r="G25" s="172">
        <f>E25-D25</f>
        <v>1.0000000000218279E-2</v>
      </c>
    </row>
    <row r="26" spans="1:16" s="37" customFormat="1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</row>
    <row r="27" spans="1:16" s="37" customFormat="1" ht="14.25" x14ac:dyDescent="0.2">
      <c r="A27" s="137" t="s">
        <v>35</v>
      </c>
      <c r="B27" s="137" t="s">
        <v>36</v>
      </c>
      <c r="C27" s="166">
        <v>0</v>
      </c>
      <c r="D27" s="166">
        <f>SUM(D28:D31)</f>
        <v>268022.76</v>
      </c>
      <c r="E27" s="166">
        <f>SUM(E28:E31)</f>
        <v>268023.18</v>
      </c>
      <c r="F27" s="166">
        <f>SUM(F28:F31)</f>
        <v>268022.76</v>
      </c>
      <c r="G27" s="166">
        <f>SUM(G28:G31)</f>
        <v>0.41999999996914994</v>
      </c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1884.54</v>
      </c>
      <c r="E28" s="68">
        <v>1884.54</v>
      </c>
      <c r="F28" s="68">
        <f>D28</f>
        <v>1884.54</v>
      </c>
      <c r="G28" s="68">
        <f>E28-D28</f>
        <v>0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73863.08</v>
      </c>
      <c r="E29" s="68">
        <v>73863.12</v>
      </c>
      <c r="F29" s="68">
        <f>D29</f>
        <v>73863.08</v>
      </c>
      <c r="G29" s="68">
        <f>E29-D29</f>
        <v>3.9999999993597157E-2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192275.14</v>
      </c>
      <c r="E31" s="68">
        <v>192275.52</v>
      </c>
      <c r="F31" s="68">
        <f>D31</f>
        <v>192275.14</v>
      </c>
      <c r="G31" s="68">
        <f>E31-D31</f>
        <v>0.37999999997555278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D12+D17+D23+D25+D26+D27-E17-E23-E25-E26-E27</f>
        <v>-0.52999999996973202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12031.083900000001</v>
      </c>
      <c r="H35" s="40"/>
      <c r="I35" s="40"/>
    </row>
    <row r="36" spans="1:14" s="20" customFormat="1" ht="9.75" customHeight="1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4" ht="23.25" customHeight="1" x14ac:dyDescent="0.2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9" spans="1:14" s="18" customFormat="1" ht="37.5" customHeight="1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N39" s="54"/>
    </row>
    <row r="40" spans="1:14" s="12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SUM(F41:G41)</f>
        <v>121.52610000000001</v>
      </c>
      <c r="G40" s="312"/>
      <c r="H40" s="59"/>
      <c r="I40" s="60"/>
      <c r="N40" s="55"/>
    </row>
    <row r="41" spans="1:14" s="25" customFormat="1" ht="15" x14ac:dyDescent="0.25">
      <c r="A41" s="9" t="s">
        <v>16</v>
      </c>
      <c r="B41" s="327" t="s">
        <v>533</v>
      </c>
      <c r="C41" s="328"/>
      <c r="D41" s="246"/>
      <c r="E41" s="246"/>
      <c r="F41" s="317">
        <f>E25*1%</f>
        <v>121.52610000000001</v>
      </c>
      <c r="G41" s="317"/>
    </row>
    <row r="42" spans="1:14" s="25" customFormat="1" x14ac:dyDescent="0.2"/>
    <row r="43" spans="1:14" s="3" customFormat="1" ht="15" x14ac:dyDescent="0.25">
      <c r="A43" s="3" t="s">
        <v>55</v>
      </c>
      <c r="C43" s="101" t="s">
        <v>49</v>
      </c>
      <c r="F43" s="3" t="s">
        <v>102</v>
      </c>
    </row>
    <row r="44" spans="1:14" s="25" customFormat="1" ht="15" x14ac:dyDescent="0.25">
      <c r="A44" s="3"/>
      <c r="B44" s="3"/>
      <c r="C44" s="101"/>
      <c r="D44" s="3"/>
      <c r="E44" s="3"/>
      <c r="F44" s="4" t="s">
        <v>265</v>
      </c>
      <c r="G44" s="3"/>
    </row>
    <row r="45" spans="1:14" s="25" customFormat="1" ht="15" x14ac:dyDescent="0.2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4" s="25" customFormat="1" ht="15" x14ac:dyDescent="0.25">
      <c r="A46" s="3"/>
      <c r="B46" s="3"/>
      <c r="C46" s="106" t="s">
        <v>51</v>
      </c>
      <c r="D46" s="3"/>
      <c r="E46" s="14"/>
      <c r="F46" s="14"/>
      <c r="G46" s="14"/>
    </row>
    <row r="47" spans="1:14" s="25" customFormat="1" x14ac:dyDescent="0.2"/>
  </sheetData>
  <mergeCells count="16">
    <mergeCell ref="F41:G41"/>
    <mergeCell ref="B41:C41"/>
    <mergeCell ref="B39:C39"/>
    <mergeCell ref="F39:G39"/>
    <mergeCell ref="B40:C40"/>
    <mergeCell ref="F40:G40"/>
    <mergeCell ref="A11:K11"/>
    <mergeCell ref="A12:C12"/>
    <mergeCell ref="A33:C33"/>
    <mergeCell ref="A37:K37"/>
    <mergeCell ref="A1:K1"/>
    <mergeCell ref="A2:K2"/>
    <mergeCell ref="A3:K3"/>
    <mergeCell ref="A5:K5"/>
    <mergeCell ref="A9:K9"/>
    <mergeCell ref="A10:K10"/>
  </mergeCells>
  <pageMargins left="0.7" right="0.7" top="0.75" bottom="0.75" header="0.3" footer="0.3"/>
  <pageSetup paperSize="9" orientation="portrait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F42" sqref="F42"/>
    </sheetView>
  </sheetViews>
  <sheetFormatPr defaultRowHeight="12.75" outlineLevelCol="1" x14ac:dyDescent="0.2"/>
  <cols>
    <col min="1" max="1" width="4.85546875" style="23" customWidth="1"/>
    <col min="2" max="2" width="47.7109375" style="23" customWidth="1"/>
    <col min="3" max="3" width="15.85546875" style="23" customWidth="1"/>
    <col min="4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435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436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437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438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168" customFormat="1" ht="28.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4692.38</v>
      </c>
      <c r="E17" s="165">
        <v>4692.38</v>
      </c>
      <c r="F17" s="165">
        <f>D17</f>
        <v>4692.38</v>
      </c>
      <c r="G17" s="166">
        <f>E17-D17</f>
        <v>0</v>
      </c>
      <c r="H17" s="70">
        <f>C17</f>
        <v>8.5500000000000007</v>
      </c>
      <c r="O17" s="167"/>
      <c r="P17" s="169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1690.3544327485381</v>
      </c>
      <c r="E18" s="67">
        <f>E17*I18</f>
        <v>1690.3544327485381</v>
      </c>
      <c r="F18" s="67">
        <f>D18</f>
        <v>1690.3544327485381</v>
      </c>
      <c r="G18" s="68">
        <f t="shared" ref="G18:G26" si="0">E18-D18</f>
        <v>0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828.71272514619875</v>
      </c>
      <c r="E19" s="67">
        <f>E17*I19</f>
        <v>828.71272514619875</v>
      </c>
      <c r="F19" s="67">
        <f>D19</f>
        <v>828.71272514619875</v>
      </c>
      <c r="G19" s="68">
        <f t="shared" si="0"/>
        <v>0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746.39026900584793</v>
      </c>
      <c r="E20" s="67">
        <f>E17*I20</f>
        <v>746.39026900584793</v>
      </c>
      <c r="F20" s="67">
        <f>D20</f>
        <v>746.39026900584793</v>
      </c>
      <c r="G20" s="68">
        <f t="shared" si="0"/>
        <v>0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1426.9225730994151</v>
      </c>
      <c r="E21" s="67">
        <f>E17*I21</f>
        <v>1426.9225730994151</v>
      </c>
      <c r="F21" s="67">
        <f>D21</f>
        <v>1426.9225730994151</v>
      </c>
      <c r="G21" s="68">
        <f t="shared" si="0"/>
        <v>0</v>
      </c>
      <c r="H21" s="70">
        <f t="shared" si="1"/>
        <v>2.6</v>
      </c>
      <c r="I21" s="32">
        <f>H21/H17</f>
        <v>0.30409356725146197</v>
      </c>
    </row>
    <row r="22" spans="1:16" s="173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</row>
    <row r="23" spans="1:16" s="173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2524.48</v>
      </c>
      <c r="E23" s="172">
        <v>2524.48</v>
      </c>
      <c r="F23" s="172">
        <f>D23</f>
        <v>2524.48</v>
      </c>
      <c r="G23" s="172">
        <f t="shared" si="0"/>
        <v>0</v>
      </c>
    </row>
    <row r="24" spans="1:16" s="173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</row>
    <row r="25" spans="1:16" s="173" customFormat="1" ht="14.25" x14ac:dyDescent="0.2">
      <c r="A25" s="227" t="s">
        <v>31</v>
      </c>
      <c r="B25" s="227" t="s">
        <v>132</v>
      </c>
      <c r="C25" s="172">
        <v>1.65</v>
      </c>
      <c r="D25" s="172">
        <v>905.66</v>
      </c>
      <c r="E25" s="172">
        <v>905.66</v>
      </c>
      <c r="F25" s="172">
        <f>F40</f>
        <v>9.0565999999999995</v>
      </c>
      <c r="G25" s="172">
        <f>E25-D25</f>
        <v>0</v>
      </c>
    </row>
    <row r="26" spans="1:16" s="37" customFormat="1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</row>
    <row r="27" spans="1:16" s="37" customFormat="1" ht="14.25" x14ac:dyDescent="0.2">
      <c r="A27" s="137" t="s">
        <v>35</v>
      </c>
      <c r="B27" s="137" t="s">
        <v>36</v>
      </c>
      <c r="C27" s="166">
        <v>0</v>
      </c>
      <c r="D27" s="166">
        <f>SUM(D28:D31)</f>
        <v>12055.07</v>
      </c>
      <c r="E27" s="166">
        <f>SUM(E28:E31)</f>
        <v>12055.07</v>
      </c>
      <c r="F27" s="166">
        <f>SUM(F28:F31)</f>
        <v>12055.07</v>
      </c>
      <c r="G27" s="166">
        <f>SUM(G28:G31)</f>
        <v>0</v>
      </c>
    </row>
    <row r="28" spans="1:16" ht="15" x14ac:dyDescent="0.25">
      <c r="A28" s="9" t="s">
        <v>37</v>
      </c>
      <c r="B28" s="9" t="s">
        <v>263</v>
      </c>
      <c r="C28" s="255">
        <v>0</v>
      </c>
      <c r="D28" s="68">
        <v>0</v>
      </c>
      <c r="E28" s="68">
        <v>0</v>
      </c>
      <c r="F28" s="68">
        <f>D28</f>
        <v>0</v>
      </c>
      <c r="G28" s="68">
        <f>E28-D28</f>
        <v>0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5560.8</v>
      </c>
      <c r="E29" s="68">
        <v>5560.8</v>
      </c>
      <c r="F29" s="68">
        <f>D29</f>
        <v>5560.8</v>
      </c>
      <c r="G29" s="68">
        <f>E29-D29</f>
        <v>0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6494.27</v>
      </c>
      <c r="E31" s="68">
        <v>6494.27</v>
      </c>
      <c r="F31" s="68">
        <f>D31</f>
        <v>6494.27</v>
      </c>
      <c r="G31" s="68">
        <f>E31-D31</f>
        <v>0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D12+D17+D23+D25+D26+D27-E17-E23-E25-E26-E27</f>
        <v>0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896.60339999999997</v>
      </c>
      <c r="H35" s="40"/>
      <c r="I35" s="40"/>
    </row>
    <row r="36" spans="1:14" s="20" customFormat="1" ht="9.75" customHeight="1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4" ht="23.25" customHeight="1" x14ac:dyDescent="0.2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9" spans="1:14" s="18" customFormat="1" ht="37.5" customHeight="1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N39" s="54"/>
    </row>
    <row r="40" spans="1:14" s="12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SUM(F41:G41)</f>
        <v>9.0565999999999995</v>
      </c>
      <c r="G40" s="312"/>
      <c r="H40" s="59"/>
      <c r="I40" s="60"/>
      <c r="N40" s="55"/>
    </row>
    <row r="41" spans="1:14" s="25" customFormat="1" ht="15" x14ac:dyDescent="0.25">
      <c r="A41" s="9" t="s">
        <v>16</v>
      </c>
      <c r="B41" s="327" t="s">
        <v>533</v>
      </c>
      <c r="C41" s="328"/>
      <c r="D41" s="246"/>
      <c r="E41" s="246"/>
      <c r="F41" s="317">
        <f>E25*1%</f>
        <v>9.0565999999999995</v>
      </c>
      <c r="G41" s="317"/>
    </row>
    <row r="42" spans="1:14" s="25" customFormat="1" x14ac:dyDescent="0.2"/>
    <row r="43" spans="1:14" s="3" customFormat="1" ht="15" x14ac:dyDescent="0.25">
      <c r="A43" s="3" t="s">
        <v>55</v>
      </c>
      <c r="C43" s="101" t="s">
        <v>49</v>
      </c>
      <c r="F43" s="3" t="s">
        <v>102</v>
      </c>
    </row>
    <row r="44" spans="1:14" s="25" customFormat="1" ht="15" x14ac:dyDescent="0.25">
      <c r="A44" s="3"/>
      <c r="B44" s="3"/>
      <c r="C44" s="101"/>
      <c r="D44" s="3"/>
      <c r="E44" s="3"/>
      <c r="F44" s="4" t="s">
        <v>265</v>
      </c>
      <c r="G44" s="3"/>
    </row>
    <row r="45" spans="1:14" s="25" customFormat="1" ht="15" x14ac:dyDescent="0.2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4" s="25" customFormat="1" ht="15" x14ac:dyDescent="0.25">
      <c r="A46" s="3"/>
      <c r="B46" s="3"/>
      <c r="C46" s="106" t="s">
        <v>51</v>
      </c>
      <c r="D46" s="3"/>
      <c r="E46" s="14"/>
      <c r="F46" s="14"/>
      <c r="G46" s="14"/>
    </row>
    <row r="47" spans="1:14" s="25" customFormat="1" x14ac:dyDescent="0.2"/>
  </sheetData>
  <mergeCells count="16">
    <mergeCell ref="B40:C40"/>
    <mergeCell ref="F40:G40"/>
    <mergeCell ref="B41:C41"/>
    <mergeCell ref="F41:G41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F45" sqref="F45"/>
    </sheetView>
  </sheetViews>
  <sheetFormatPr defaultRowHeight="12.75" outlineLevelCol="1" x14ac:dyDescent="0.2"/>
  <cols>
    <col min="1" max="1" width="4.85546875" style="23" customWidth="1"/>
    <col min="2" max="2" width="48.5703125" style="23" customWidth="1"/>
    <col min="3" max="3" width="15.85546875" style="23" customWidth="1"/>
    <col min="4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430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431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428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429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168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61662.7</v>
      </c>
      <c r="E17" s="165">
        <v>56233.26</v>
      </c>
      <c r="F17" s="165">
        <f>D17</f>
        <v>61662.7</v>
      </c>
      <c r="G17" s="166">
        <f>E17-D17</f>
        <v>-5429.4399999999951</v>
      </c>
      <c r="H17" s="70">
        <f>C17</f>
        <v>8.5500000000000007</v>
      </c>
      <c r="O17" s="167"/>
      <c r="P17" s="169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22212.99602339181</v>
      </c>
      <c r="E18" s="67">
        <f>E17*I18</f>
        <v>20257.127578947369</v>
      </c>
      <c r="F18" s="67">
        <f>D18</f>
        <v>22212.99602339181</v>
      </c>
      <c r="G18" s="68">
        <f t="shared" ref="G18:G26" si="0">E18-D18</f>
        <v>-1955.8684444444407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10890.137660818711</v>
      </c>
      <c r="E19" s="67">
        <f>E17*I19</f>
        <v>9931.2541052631568</v>
      </c>
      <c r="F19" s="67">
        <f>D19</f>
        <v>10890.137660818711</v>
      </c>
      <c r="G19" s="68">
        <f t="shared" si="0"/>
        <v>-958.88355555555427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9808.3359064327469</v>
      </c>
      <c r="E20" s="67">
        <f>E17*I20</f>
        <v>8944.7056842105267</v>
      </c>
      <c r="F20" s="67">
        <f>D20</f>
        <v>9808.3359064327469</v>
      </c>
      <c r="G20" s="68">
        <f t="shared" si="0"/>
        <v>-863.63022222222025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18751.230409356722</v>
      </c>
      <c r="E21" s="67">
        <f>E17*I21</f>
        <v>17100.172631578946</v>
      </c>
      <c r="F21" s="67">
        <f>D21</f>
        <v>18751.230409356722</v>
      </c>
      <c r="G21" s="68">
        <f t="shared" si="0"/>
        <v>-1651.0577777777762</v>
      </c>
      <c r="H21" s="70">
        <f t="shared" si="1"/>
        <v>2.6</v>
      </c>
      <c r="I21" s="32">
        <f>H21/H17</f>
        <v>0.30409356725146197</v>
      </c>
    </row>
    <row r="22" spans="1:16" s="173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</row>
    <row r="23" spans="1:16" s="173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33175.199999999997</v>
      </c>
      <c r="E23" s="172">
        <v>30254.12</v>
      </c>
      <c r="F23" s="172">
        <f>D23</f>
        <v>33175.199999999997</v>
      </c>
      <c r="G23" s="172">
        <f t="shared" si="0"/>
        <v>-2921.0799999999981</v>
      </c>
    </row>
    <row r="24" spans="1:16" s="173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</row>
    <row r="25" spans="1:16" s="173" customFormat="1" ht="14.25" x14ac:dyDescent="0.2">
      <c r="A25" s="227" t="s">
        <v>31</v>
      </c>
      <c r="B25" s="227" t="s">
        <v>132</v>
      </c>
      <c r="C25" s="172">
        <v>1.65</v>
      </c>
      <c r="D25" s="172">
        <v>11900</v>
      </c>
      <c r="E25" s="172">
        <v>10852.16</v>
      </c>
      <c r="F25" s="172">
        <f>F40</f>
        <v>24316.211600000002</v>
      </c>
      <c r="G25" s="172">
        <f>E25-D25</f>
        <v>-1047.8400000000001</v>
      </c>
    </row>
    <row r="26" spans="1:16" s="37" customFormat="1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</row>
    <row r="27" spans="1:16" s="37" customFormat="1" ht="14.25" x14ac:dyDescent="0.2">
      <c r="A27" s="137" t="s">
        <v>35</v>
      </c>
      <c r="B27" s="137" t="s">
        <v>36</v>
      </c>
      <c r="C27" s="166">
        <v>0</v>
      </c>
      <c r="D27" s="166">
        <f>SUM(D28:D31)</f>
        <v>289879.61</v>
      </c>
      <c r="E27" s="166">
        <f>SUM(E28:E31)</f>
        <v>258653.50999999998</v>
      </c>
      <c r="F27" s="166">
        <f>SUM(F28:F31)</f>
        <v>289879.61</v>
      </c>
      <c r="G27" s="166">
        <f>SUM(G28:G31)</f>
        <v>-31226.100000000028</v>
      </c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1812.1</v>
      </c>
      <c r="E28" s="68">
        <v>1651.75</v>
      </c>
      <c r="F28" s="68">
        <f>D28</f>
        <v>1812.1</v>
      </c>
      <c r="G28" s="68">
        <f>E28-D28</f>
        <v>-160.34999999999991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99786.72</v>
      </c>
      <c r="E29" s="68">
        <v>87262.18</v>
      </c>
      <c r="F29" s="68">
        <f>D29</f>
        <v>99786.72</v>
      </c>
      <c r="G29" s="68">
        <f>E29-D29</f>
        <v>-12524.540000000008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188280.79</v>
      </c>
      <c r="E31" s="68">
        <v>169739.58</v>
      </c>
      <c r="F31" s="68">
        <f>D31</f>
        <v>188280.79</v>
      </c>
      <c r="G31" s="68">
        <f>E31-D31</f>
        <v>-18541.210000000021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40624.46000000005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-13464.051600000003</v>
      </c>
      <c r="H35" s="40"/>
      <c r="I35" s="40"/>
    </row>
    <row r="36" spans="1:14" s="20" customFormat="1" ht="9.75" customHeight="1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4" ht="28.5" customHeight="1" x14ac:dyDescent="0.2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9" spans="1:14" s="18" customFormat="1" ht="37.5" customHeight="1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N39" s="54"/>
    </row>
    <row r="40" spans="1:14" s="12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SUM(F41:G44)</f>
        <v>24316.211600000002</v>
      </c>
      <c r="G40" s="312"/>
      <c r="H40" s="59"/>
      <c r="I40" s="60"/>
      <c r="N40" s="55"/>
    </row>
    <row r="41" spans="1:14" ht="15.75" customHeight="1" x14ac:dyDescent="0.25">
      <c r="A41" s="9" t="s">
        <v>16</v>
      </c>
      <c r="B41" s="298" t="s">
        <v>425</v>
      </c>
      <c r="C41" s="299"/>
      <c r="D41" s="177"/>
      <c r="E41" s="177"/>
      <c r="F41" s="329">
        <v>14733.69</v>
      </c>
      <c r="G41" s="330"/>
      <c r="H41" s="61"/>
      <c r="I41" s="62"/>
      <c r="N41" s="56"/>
    </row>
    <row r="42" spans="1:14" ht="15" x14ac:dyDescent="0.25">
      <c r="A42" s="9" t="s">
        <v>18</v>
      </c>
      <c r="B42" s="298" t="s">
        <v>432</v>
      </c>
      <c r="C42" s="299"/>
      <c r="D42" s="177" t="s">
        <v>255</v>
      </c>
      <c r="E42" s="177">
        <v>4</v>
      </c>
      <c r="F42" s="315">
        <v>3072</v>
      </c>
      <c r="G42" s="315"/>
    </row>
    <row r="43" spans="1:14" ht="15" x14ac:dyDescent="0.25">
      <c r="A43" s="9" t="s">
        <v>20</v>
      </c>
      <c r="B43" s="298" t="s">
        <v>433</v>
      </c>
      <c r="C43" s="299"/>
      <c r="D43" s="177" t="s">
        <v>255</v>
      </c>
      <c r="E43" s="177">
        <v>6</v>
      </c>
      <c r="F43" s="315">
        <v>6402</v>
      </c>
      <c r="G43" s="315"/>
    </row>
    <row r="44" spans="1:14" s="25" customFormat="1" ht="15" x14ac:dyDescent="0.25">
      <c r="A44" s="9" t="s">
        <v>22</v>
      </c>
      <c r="B44" s="271" t="s">
        <v>533</v>
      </c>
      <c r="C44" s="198"/>
      <c r="D44" s="246"/>
      <c r="E44" s="246"/>
      <c r="F44" s="317">
        <f>E25*1%</f>
        <v>108.52160000000001</v>
      </c>
      <c r="G44" s="317"/>
    </row>
    <row r="45" spans="1:14" s="25" customFormat="1" x14ac:dyDescent="0.2"/>
    <row r="46" spans="1:14" s="3" customFormat="1" ht="15" x14ac:dyDescent="0.25">
      <c r="A46" s="3" t="s">
        <v>55</v>
      </c>
      <c r="C46" s="101" t="s">
        <v>49</v>
      </c>
      <c r="F46" s="3" t="s">
        <v>102</v>
      </c>
    </row>
    <row r="47" spans="1:14" s="25" customFormat="1" ht="15" x14ac:dyDescent="0.25">
      <c r="A47" s="3"/>
      <c r="B47" s="3"/>
      <c r="C47" s="101"/>
      <c r="D47" s="3"/>
      <c r="E47" s="3"/>
      <c r="F47" s="4" t="s">
        <v>265</v>
      </c>
      <c r="G47" s="3"/>
    </row>
    <row r="48" spans="1:14" s="25" customFormat="1" ht="15" x14ac:dyDescent="0.25">
      <c r="A48" s="3" t="s">
        <v>50</v>
      </c>
      <c r="B48" s="3"/>
      <c r="C48" s="101"/>
      <c r="D48" s="3"/>
      <c r="E48" s="3"/>
      <c r="F48" s="3"/>
      <c r="G48" s="3"/>
      <c r="H48" s="34"/>
      <c r="I48" s="34"/>
      <c r="J48" s="34"/>
    </row>
    <row r="49" spans="1:7" s="25" customFormat="1" ht="15" x14ac:dyDescent="0.25">
      <c r="A49" s="3"/>
      <c r="B49" s="3"/>
      <c r="C49" s="106" t="s">
        <v>51</v>
      </c>
      <c r="D49" s="3"/>
      <c r="E49" s="14"/>
      <c r="F49" s="14"/>
      <c r="G49" s="14"/>
    </row>
    <row r="50" spans="1:7" s="25" customFormat="1" x14ac:dyDescent="0.2"/>
  </sheetData>
  <mergeCells count="21">
    <mergeCell ref="F44:G44"/>
    <mergeCell ref="B43:C43"/>
    <mergeCell ref="F43:G43"/>
    <mergeCell ref="B40:C40"/>
    <mergeCell ref="F40:G40"/>
    <mergeCell ref="B41:C41"/>
    <mergeCell ref="F41:G41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  <pageSetup paperSize="9" orientation="portrait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F43" sqref="F43"/>
    </sheetView>
  </sheetViews>
  <sheetFormatPr defaultRowHeight="12.75" outlineLevelCol="1" x14ac:dyDescent="0.2"/>
  <cols>
    <col min="1" max="1" width="5.85546875" style="23" customWidth="1"/>
    <col min="2" max="2" width="47" style="23" customWidth="1"/>
    <col min="3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218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219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240</v>
      </c>
      <c r="B12" s="288"/>
      <c r="C12" s="288"/>
      <c r="D12" s="73">
        <v>404.24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87" t="s">
        <v>215</v>
      </c>
      <c r="B14" s="43"/>
      <c r="C14" s="43"/>
      <c r="D14" s="44"/>
      <c r="E14" s="45"/>
      <c r="F14" s="45"/>
      <c r="G14" s="73">
        <v>2250.5100000000002</v>
      </c>
      <c r="H14" s="40"/>
      <c r="I14" s="40"/>
    </row>
    <row r="15" spans="1:13" s="25" customFormat="1" ht="6.75" customHeight="1" x14ac:dyDescent="0.2"/>
    <row r="16" spans="1:13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28.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74113.440000000002</v>
      </c>
      <c r="E17" s="165">
        <v>72881.440000000002</v>
      </c>
      <c r="F17" s="165">
        <f>D17</f>
        <v>74113.440000000002</v>
      </c>
      <c r="G17" s="166">
        <f>E17-D17</f>
        <v>-1232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26698.174877192982</v>
      </c>
      <c r="E18" s="67">
        <f>E17*I18</f>
        <v>26254.366690058479</v>
      </c>
      <c r="F18" s="67">
        <f>D18</f>
        <v>26698.174877192982</v>
      </c>
      <c r="G18" s="68">
        <f t="shared" ref="G18:G26" si="0">E18-D18</f>
        <v>-443.80818713450208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13089.040280701754</v>
      </c>
      <c r="E19" s="67">
        <f>E17*I19</f>
        <v>12871.458994152046</v>
      </c>
      <c r="F19" s="67">
        <f>D19</f>
        <v>13089.040280701754</v>
      </c>
      <c r="G19" s="68">
        <f t="shared" si="0"/>
        <v>-217.58128654970824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11788.804491228069</v>
      </c>
      <c r="E20" s="67">
        <f>E17*I20</f>
        <v>11592.837239766081</v>
      </c>
      <c r="F20" s="67">
        <f>D20</f>
        <v>11788.804491228069</v>
      </c>
      <c r="G20" s="68">
        <f t="shared" si="0"/>
        <v>-195.96725146198878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22537.420350877193</v>
      </c>
      <c r="E21" s="67">
        <f>E17*I21</f>
        <v>22162.777076023391</v>
      </c>
      <c r="F21" s="67">
        <f>D21</f>
        <v>22537.420350877193</v>
      </c>
      <c r="G21" s="68">
        <f t="shared" si="0"/>
        <v>-374.64327485380272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39873.72</v>
      </c>
      <c r="E23" s="172">
        <v>39207.480000000003</v>
      </c>
      <c r="F23" s="172">
        <f>D23</f>
        <v>39873.72</v>
      </c>
      <c r="G23" s="172">
        <f t="shared" si="0"/>
        <v>-666.23999999999796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14302.8</v>
      </c>
      <c r="E25" s="172">
        <v>14063.82</v>
      </c>
      <c r="F25" s="172">
        <f>F40</f>
        <v>9963.0981999999985</v>
      </c>
      <c r="G25" s="172">
        <f>E25-D25</f>
        <v>-238.97999999999956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205659.24</v>
      </c>
      <c r="E27" s="166">
        <f>SUM(E28:E31)</f>
        <v>207704.62</v>
      </c>
      <c r="F27" s="166">
        <f>SUM(F28:F31)</f>
        <v>205659.24</v>
      </c>
      <c r="G27" s="166">
        <f>SUM(G28:G31)</f>
        <v>2045.3799999999828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2224.36</v>
      </c>
      <c r="E28" s="68">
        <v>2203.6799999999998</v>
      </c>
      <c r="F28" s="68">
        <f>D28</f>
        <v>2224.36</v>
      </c>
      <c r="G28" s="68">
        <f>E28-D28</f>
        <v>-20.680000000000291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130898.72</v>
      </c>
      <c r="E29" s="68">
        <v>131952.68</v>
      </c>
      <c r="F29" s="68">
        <f>D29</f>
        <v>130898.72</v>
      </c>
      <c r="G29" s="68">
        <f>E29-D29</f>
        <v>1053.9599999999919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72536.160000000003</v>
      </c>
      <c r="E31" s="68">
        <v>73548.259999999995</v>
      </c>
      <c r="F31" s="68">
        <f>D31</f>
        <v>72536.160000000003</v>
      </c>
      <c r="G31" s="68">
        <f>E31-D31</f>
        <v>1012.0999999999913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496.07999999998719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6351.2318000000014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5.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8" spans="1:14" ht="23.25" customHeight="1" x14ac:dyDescent="0.2"/>
    <row r="39" spans="1:14" ht="28.5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SUM(F41:G42)</f>
        <v>9963.0981999999985</v>
      </c>
      <c r="G40" s="312"/>
      <c r="H40" s="59"/>
      <c r="I40" s="60"/>
      <c r="J40" s="12"/>
      <c r="K40" s="12"/>
      <c r="N40" s="54"/>
    </row>
    <row r="41" spans="1:14" s="12" customFormat="1" ht="15" x14ac:dyDescent="0.25">
      <c r="A41" s="9" t="s">
        <v>16</v>
      </c>
      <c r="B41" s="298" t="s">
        <v>434</v>
      </c>
      <c r="C41" s="299"/>
      <c r="D41" s="177"/>
      <c r="E41" s="177"/>
      <c r="F41" s="329">
        <v>9822.4599999999991</v>
      </c>
      <c r="G41" s="330"/>
      <c r="H41" s="61"/>
      <c r="I41" s="62"/>
      <c r="J41" s="23"/>
      <c r="K41" s="23"/>
      <c r="N41" s="55"/>
    </row>
    <row r="42" spans="1:14" s="25" customFormat="1" ht="15" x14ac:dyDescent="0.25">
      <c r="A42" s="9" t="s">
        <v>18</v>
      </c>
      <c r="B42" s="327" t="s">
        <v>533</v>
      </c>
      <c r="C42" s="328"/>
      <c r="D42" s="246"/>
      <c r="E42" s="246"/>
      <c r="F42" s="317">
        <f>E25*1%</f>
        <v>140.63820000000001</v>
      </c>
      <c r="G42" s="317"/>
    </row>
    <row r="43" spans="1:14" s="25" customFormat="1" x14ac:dyDescent="0.2"/>
    <row r="44" spans="1:14" s="3" customFormat="1" ht="15" x14ac:dyDescent="0.25">
      <c r="A44" s="3" t="s">
        <v>55</v>
      </c>
      <c r="C44" s="101" t="s">
        <v>49</v>
      </c>
      <c r="F44" s="3" t="s">
        <v>102</v>
      </c>
    </row>
    <row r="45" spans="1:14" s="25" customFormat="1" ht="15" x14ac:dyDescent="0.25">
      <c r="A45" s="3"/>
      <c r="B45" s="3"/>
      <c r="C45" s="101"/>
      <c r="D45" s="3"/>
      <c r="E45" s="3"/>
      <c r="F45" s="4" t="s">
        <v>265</v>
      </c>
      <c r="G45" s="3"/>
    </row>
    <row r="46" spans="1:14" s="25" customFormat="1" ht="15" x14ac:dyDescent="0.2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</row>
    <row r="47" spans="1:14" s="25" customFormat="1" ht="15" x14ac:dyDescent="0.25">
      <c r="A47" s="3"/>
      <c r="B47" s="3"/>
      <c r="C47" s="106" t="s">
        <v>51</v>
      </c>
      <c r="D47" s="3"/>
      <c r="E47" s="14"/>
      <c r="F47" s="14"/>
      <c r="G47" s="14"/>
    </row>
    <row r="48" spans="1:14" s="25" customFormat="1" x14ac:dyDescent="0.2"/>
  </sheetData>
  <mergeCells count="18">
    <mergeCell ref="F42:G42"/>
    <mergeCell ref="B42:C42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G36" sqref="G36"/>
    </sheetView>
  </sheetViews>
  <sheetFormatPr defaultRowHeight="12.75" outlineLevelCol="1" x14ac:dyDescent="0.2"/>
  <cols>
    <col min="1" max="1" width="5.85546875" style="23" customWidth="1"/>
    <col min="2" max="2" width="47" style="23" customWidth="1"/>
    <col min="3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439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440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441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429</v>
      </c>
      <c r="B14" s="244"/>
      <c r="C14" s="244"/>
      <c r="D14" s="44"/>
      <c r="E14" s="45"/>
      <c r="F14" s="45"/>
      <c r="G14" s="73">
        <v>14803.75</v>
      </c>
      <c r="H14" s="40"/>
      <c r="I14" s="40"/>
    </row>
    <row r="15" spans="1:13" s="25" customFormat="1" ht="6.75" customHeight="1" x14ac:dyDescent="0.2"/>
    <row r="16" spans="1:13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28.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60576.34</v>
      </c>
      <c r="E17" s="165">
        <v>53071.65</v>
      </c>
      <c r="F17" s="165">
        <f>D17</f>
        <v>60576.34</v>
      </c>
      <c r="G17" s="166">
        <f>E17-D17</f>
        <v>-7504.6899999999951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21821.652304093564</v>
      </c>
      <c r="E18" s="67">
        <f>E17*I18</f>
        <v>19118.20842105263</v>
      </c>
      <c r="F18" s="67">
        <f>D18</f>
        <v>21821.652304093564</v>
      </c>
      <c r="G18" s="68">
        <f t="shared" ref="G18:G26" si="0">E18-D18</f>
        <v>-2703.4438830409345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10698.277590643273</v>
      </c>
      <c r="E19" s="67">
        <f>E17*I19</f>
        <v>9372.8878947368412</v>
      </c>
      <c r="F19" s="67">
        <f>D19</f>
        <v>10698.277590643273</v>
      </c>
      <c r="G19" s="68">
        <f t="shared" si="0"/>
        <v>-1325.3896959064314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9635.5347836257297</v>
      </c>
      <c r="E20" s="67">
        <f>E17*I20</f>
        <v>8441.806315789474</v>
      </c>
      <c r="F20" s="67">
        <f>D20</f>
        <v>9635.5347836257297</v>
      </c>
      <c r="G20" s="68">
        <f t="shared" si="0"/>
        <v>-1193.7284678362557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18420.875321637424</v>
      </c>
      <c r="E21" s="67">
        <f>E17*I21</f>
        <v>16138.747368421053</v>
      </c>
      <c r="F21" s="67">
        <f>D21</f>
        <v>18420.875321637424</v>
      </c>
      <c r="G21" s="68">
        <f t="shared" si="0"/>
        <v>-2282.1279532163717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32590.54</v>
      </c>
      <c r="E23" s="172">
        <v>28552.97</v>
      </c>
      <c r="F23" s="172">
        <f>D23</f>
        <v>32590.54</v>
      </c>
      <c r="G23" s="172">
        <f t="shared" si="0"/>
        <v>-4037.5699999999997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11690.58</v>
      </c>
      <c r="E25" s="172">
        <v>10242.209999999999</v>
      </c>
      <c r="F25" s="172">
        <f>F40</f>
        <v>5331.4920999999995</v>
      </c>
      <c r="G25" s="172">
        <f>E25-D25</f>
        <v>-1448.3700000000008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272985.09999999998</v>
      </c>
      <c r="E27" s="166">
        <f>SUM(E28:E31)</f>
        <v>235138.28000000003</v>
      </c>
      <c r="F27" s="166">
        <f>SUM(F28:F31)</f>
        <v>272985.09999999998</v>
      </c>
      <c r="G27" s="166">
        <f>SUM(G28:G31)</f>
        <v>-37846.82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1835.08</v>
      </c>
      <c r="E28" s="68">
        <v>1607.32</v>
      </c>
      <c r="F28" s="68">
        <f>D28</f>
        <v>1835.08</v>
      </c>
      <c r="G28" s="68">
        <f>E28-D28</f>
        <v>-227.76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86179.24</v>
      </c>
      <c r="E29" s="68">
        <v>73790.36</v>
      </c>
      <c r="F29" s="68">
        <f>D29</f>
        <v>86179.24</v>
      </c>
      <c r="G29" s="68">
        <f>E29-D29</f>
        <v>-12388.880000000005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184970.78</v>
      </c>
      <c r="E31" s="68">
        <v>159740.6</v>
      </c>
      <c r="F31" s="68">
        <f>D31</f>
        <v>184970.78</v>
      </c>
      <c r="G31" s="68">
        <f>E31-D31</f>
        <v>-25230.179999999993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50837.449999999895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19714.4679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5.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8" spans="1:14" ht="23.25" customHeight="1" x14ac:dyDescent="0.2"/>
    <row r="39" spans="1:14" ht="28.5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SUM(F41:G43)</f>
        <v>5331.4920999999995</v>
      </c>
      <c r="G40" s="312"/>
      <c r="H40" s="59"/>
      <c r="I40" s="60"/>
      <c r="J40" s="12"/>
      <c r="K40" s="12"/>
      <c r="N40" s="54"/>
    </row>
    <row r="41" spans="1:14" s="12" customFormat="1" ht="15" x14ac:dyDescent="0.25">
      <c r="A41" s="9" t="s">
        <v>16</v>
      </c>
      <c r="B41" s="298" t="s">
        <v>442</v>
      </c>
      <c r="C41" s="299"/>
      <c r="D41" s="177"/>
      <c r="E41" s="177"/>
      <c r="F41" s="329">
        <v>2695.07</v>
      </c>
      <c r="G41" s="330"/>
      <c r="H41" s="61"/>
      <c r="I41" s="62"/>
      <c r="J41" s="23"/>
      <c r="K41" s="23"/>
      <c r="N41" s="55"/>
    </row>
    <row r="42" spans="1:14" s="12" customFormat="1" ht="15" x14ac:dyDescent="0.25">
      <c r="A42" s="9" t="s">
        <v>18</v>
      </c>
      <c r="B42" s="298" t="s">
        <v>443</v>
      </c>
      <c r="C42" s="299"/>
      <c r="D42" s="177" t="s">
        <v>255</v>
      </c>
      <c r="E42" s="177">
        <v>2</v>
      </c>
      <c r="F42" s="329">
        <v>2534</v>
      </c>
      <c r="G42" s="330"/>
      <c r="H42" s="90"/>
      <c r="I42" s="90"/>
      <c r="J42" s="23"/>
      <c r="K42" s="23"/>
      <c r="N42" s="55"/>
    </row>
    <row r="43" spans="1:14" s="25" customFormat="1" ht="15" x14ac:dyDescent="0.25">
      <c r="A43" s="9" t="s">
        <v>20</v>
      </c>
      <c r="B43" s="327" t="s">
        <v>533</v>
      </c>
      <c r="C43" s="328"/>
      <c r="D43" s="246"/>
      <c r="E43" s="246"/>
      <c r="F43" s="317">
        <f>E25*1%</f>
        <v>102.4221</v>
      </c>
      <c r="G43" s="317"/>
    </row>
    <row r="44" spans="1:14" s="25" customFormat="1" x14ac:dyDescent="0.2"/>
    <row r="45" spans="1:14" s="3" customFormat="1" ht="15" x14ac:dyDescent="0.25">
      <c r="A45" s="3" t="s">
        <v>55</v>
      </c>
      <c r="C45" s="101" t="s">
        <v>49</v>
      </c>
      <c r="F45" s="3" t="s">
        <v>102</v>
      </c>
    </row>
    <row r="46" spans="1:14" s="25" customFormat="1" ht="15" x14ac:dyDescent="0.25">
      <c r="A46" s="3"/>
      <c r="B46" s="3"/>
      <c r="C46" s="101"/>
      <c r="D46" s="3"/>
      <c r="E46" s="3"/>
      <c r="F46" s="4" t="s">
        <v>265</v>
      </c>
      <c r="G46" s="3"/>
    </row>
    <row r="47" spans="1:14" s="25" customFormat="1" ht="15" x14ac:dyDescent="0.25">
      <c r="A47" s="3" t="s">
        <v>50</v>
      </c>
      <c r="B47" s="3"/>
      <c r="C47" s="101"/>
      <c r="D47" s="3"/>
      <c r="E47" s="3"/>
      <c r="F47" s="3"/>
      <c r="G47" s="3"/>
      <c r="H47" s="34"/>
      <c r="I47" s="34"/>
      <c r="J47" s="34"/>
    </row>
    <row r="48" spans="1:14" s="25" customFormat="1" ht="15" x14ac:dyDescent="0.25">
      <c r="A48" s="3"/>
      <c r="B48" s="3"/>
      <c r="C48" s="106" t="s">
        <v>51</v>
      </c>
      <c r="D48" s="3"/>
      <c r="E48" s="14"/>
      <c r="F48" s="14"/>
      <c r="G48" s="14"/>
    </row>
    <row r="49" s="25" customFormat="1" x14ac:dyDescent="0.2"/>
  </sheetData>
  <mergeCells count="20">
    <mergeCell ref="B40:C40"/>
    <mergeCell ref="F40:G40"/>
    <mergeCell ref="B41:C41"/>
    <mergeCell ref="F41:G41"/>
    <mergeCell ref="B43:C43"/>
    <mergeCell ref="F43:G43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F42" sqref="F42"/>
    </sheetView>
  </sheetViews>
  <sheetFormatPr defaultRowHeight="12.75" outlineLevelCol="1" x14ac:dyDescent="0.2"/>
  <cols>
    <col min="1" max="1" width="5.85546875" style="23" customWidth="1"/>
    <col min="2" max="2" width="47" style="23" customWidth="1"/>
    <col min="3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444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445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446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447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28.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47901.78</v>
      </c>
      <c r="E17" s="165">
        <v>44776.62</v>
      </c>
      <c r="F17" s="165">
        <f>D17</f>
        <v>47901.78</v>
      </c>
      <c r="G17" s="166">
        <f>E17-D17</f>
        <v>-3125.1599999999962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17255.845894736842</v>
      </c>
      <c r="E18" s="67">
        <f>E17*I18</f>
        <v>16130.057263157896</v>
      </c>
      <c r="F18" s="67">
        <f>D18</f>
        <v>17255.845894736842</v>
      </c>
      <c r="G18" s="68">
        <f t="shared" ref="G18:G26" si="0">E18-D18</f>
        <v>-1125.7886315789456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8459.8465263157887</v>
      </c>
      <c r="E19" s="67">
        <f>E17*I19</f>
        <v>7907.9176842105262</v>
      </c>
      <c r="F19" s="67">
        <f>D19</f>
        <v>8459.8465263157887</v>
      </c>
      <c r="G19" s="68">
        <f t="shared" si="0"/>
        <v>-551.92884210526245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7619.4644210526303</v>
      </c>
      <c r="E20" s="67">
        <f>E17*I20</f>
        <v>7122.3629473684205</v>
      </c>
      <c r="F20" s="67">
        <f>D20</f>
        <v>7619.4644210526303</v>
      </c>
      <c r="G20" s="68">
        <f t="shared" si="0"/>
        <v>-497.10147368420985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14566.623157894735</v>
      </c>
      <c r="E21" s="67">
        <f>E17*I21</f>
        <v>13616.282105263157</v>
      </c>
      <c r="F21" s="67">
        <f>D21</f>
        <v>14566.623157894735</v>
      </c>
      <c r="G21" s="68">
        <f t="shared" si="0"/>
        <v>-950.34105263157835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25771.5</v>
      </c>
      <c r="E23" s="172">
        <v>24090.17</v>
      </c>
      <c r="F23" s="172">
        <f>D23</f>
        <v>25771.5</v>
      </c>
      <c r="G23" s="172">
        <f t="shared" si="0"/>
        <v>-1681.3300000000017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9244.5300000000007</v>
      </c>
      <c r="E25" s="172">
        <v>8641.41</v>
      </c>
      <c r="F25" s="172">
        <f>F40</f>
        <v>86.414100000000005</v>
      </c>
      <c r="G25" s="172">
        <f>E25-D25</f>
        <v>-603.1200000000008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192282.15</v>
      </c>
      <c r="E27" s="166">
        <f>SUM(E28:E31)</f>
        <v>172486.37</v>
      </c>
      <c r="F27" s="166">
        <f>SUM(F28:F31)</f>
        <v>192282.15</v>
      </c>
      <c r="G27" s="166">
        <f>SUM(G28:G31)</f>
        <v>-19795.78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1161.58</v>
      </c>
      <c r="E28" s="68">
        <v>1079.33</v>
      </c>
      <c r="F28" s="68">
        <f>D28</f>
        <v>1161.58</v>
      </c>
      <c r="G28" s="68">
        <f>E28-D28</f>
        <v>-82.25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59861.7</v>
      </c>
      <c r="E29" s="68">
        <v>57959.59</v>
      </c>
      <c r="F29" s="68">
        <f>D29</f>
        <v>59861.7</v>
      </c>
      <c r="G29" s="68">
        <f>E29-D29</f>
        <v>-1902.1100000000006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131258.87</v>
      </c>
      <c r="E31" s="68">
        <v>113447.45</v>
      </c>
      <c r="F31" s="68">
        <f>D31</f>
        <v>131258.87</v>
      </c>
      <c r="G31" s="68">
        <f>E31-D31</f>
        <v>-17811.419999999998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25205.389999999985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8554.9958999999999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5.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8" spans="1:14" ht="23.25" customHeight="1" x14ac:dyDescent="0.2"/>
    <row r="39" spans="1:14" ht="28.5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SUM(F41:G41)</f>
        <v>86.414100000000005</v>
      </c>
      <c r="G40" s="312"/>
      <c r="H40" s="59"/>
      <c r="I40" s="60"/>
      <c r="J40" s="12"/>
      <c r="K40" s="12"/>
      <c r="N40" s="54"/>
    </row>
    <row r="41" spans="1:14" s="25" customFormat="1" ht="15" x14ac:dyDescent="0.25">
      <c r="A41" s="9" t="s">
        <v>16</v>
      </c>
      <c r="B41" s="327" t="s">
        <v>533</v>
      </c>
      <c r="C41" s="328"/>
      <c r="D41" s="246"/>
      <c r="E41" s="246"/>
      <c r="F41" s="317">
        <f>E25*1%</f>
        <v>86.414100000000005</v>
      </c>
      <c r="G41" s="317"/>
    </row>
    <row r="42" spans="1:14" s="25" customFormat="1" x14ac:dyDescent="0.2"/>
    <row r="43" spans="1:14" s="3" customFormat="1" ht="15" x14ac:dyDescent="0.25">
      <c r="A43" s="3" t="s">
        <v>55</v>
      </c>
      <c r="C43" s="101" t="s">
        <v>49</v>
      </c>
      <c r="F43" s="3" t="s">
        <v>102</v>
      </c>
    </row>
    <row r="44" spans="1:14" s="25" customFormat="1" ht="15" x14ac:dyDescent="0.25">
      <c r="A44" s="3"/>
      <c r="B44" s="3"/>
      <c r="C44" s="101"/>
      <c r="D44" s="3"/>
      <c r="E44" s="3"/>
      <c r="F44" s="4" t="s">
        <v>265</v>
      </c>
      <c r="G44" s="3"/>
    </row>
    <row r="45" spans="1:14" s="25" customFormat="1" ht="15" x14ac:dyDescent="0.2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4" s="25" customFormat="1" ht="15" x14ac:dyDescent="0.25">
      <c r="A46" s="3"/>
      <c r="B46" s="3"/>
      <c r="C46" s="106" t="s">
        <v>51</v>
      </c>
      <c r="D46" s="3"/>
      <c r="E46" s="14"/>
      <c r="F46" s="14"/>
      <c r="G46" s="14"/>
    </row>
    <row r="47" spans="1:14" s="25" customFormat="1" x14ac:dyDescent="0.2"/>
  </sheetData>
  <mergeCells count="16">
    <mergeCell ref="B41:C41"/>
    <mergeCell ref="F41:G41"/>
    <mergeCell ref="B40:C40"/>
    <mergeCell ref="F40:G40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6.85546875" style="1" customWidth="1"/>
    <col min="3" max="3" width="13.5703125" style="1" customWidth="1"/>
    <col min="4" max="5" width="13.140625" style="1" bestFit="1" customWidth="1"/>
    <col min="6" max="6" width="14.140625" style="1" customWidth="1"/>
    <col min="7" max="7" width="13.5703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6.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7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.7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6" spans="1:11" ht="8.25" customHeight="1" x14ac:dyDescent="0.25"/>
    <row r="7" spans="1:11" s="3" customFormat="1" ht="16.5" customHeight="1" x14ac:dyDescent="0.25">
      <c r="A7" s="3" t="s">
        <v>2</v>
      </c>
      <c r="F7" s="4" t="s">
        <v>137</v>
      </c>
    </row>
    <row r="8" spans="1:11" s="3" customFormat="1" x14ac:dyDescent="0.25">
      <c r="A8" s="3" t="s">
        <v>3</v>
      </c>
      <c r="F8" s="4" t="s">
        <v>182</v>
      </c>
    </row>
    <row r="9" spans="1:11" s="3" customFormat="1" ht="7.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478820.81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93">
        <v>-8565.49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93">
        <v>-11411.02</v>
      </c>
      <c r="H16" s="40"/>
      <c r="I16" s="40"/>
    </row>
    <row r="17" spans="1:9" s="3" customFormat="1" ht="6.7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8.5" x14ac:dyDescent="0.2">
      <c r="A19" s="187" t="s">
        <v>14</v>
      </c>
      <c r="B19" s="137" t="s">
        <v>15</v>
      </c>
      <c r="C19" s="180">
        <f>C20+C21+C22+C23</f>
        <v>8.5500000000000007</v>
      </c>
      <c r="D19" s="165">
        <v>365042.89</v>
      </c>
      <c r="E19" s="165">
        <v>366263.97</v>
      </c>
      <c r="F19" s="165">
        <f>D19</f>
        <v>365042.89</v>
      </c>
      <c r="G19" s="166">
        <f>E19-D19</f>
        <v>1221.0799999999581</v>
      </c>
      <c r="H19" s="189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131500.83054970761</v>
      </c>
      <c r="E20" s="67">
        <f>E19*I20</f>
        <v>131940.70498245614</v>
      </c>
      <c r="F20" s="67">
        <f>D20</f>
        <v>131500.83054970761</v>
      </c>
      <c r="G20" s="68">
        <f t="shared" ref="G20:G28" si="0">E20-D20</f>
        <v>439.87443274853285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64469.563029239762</v>
      </c>
      <c r="E21" s="67">
        <f>E19*I21</f>
        <v>64685.215754385958</v>
      </c>
      <c r="F21" s="67">
        <f>D21</f>
        <v>64469.563029239762</v>
      </c>
      <c r="G21" s="68">
        <f t="shared" si="0"/>
        <v>215.65272514619573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58065.301801169589</v>
      </c>
      <c r="E22" s="67">
        <f>E19*I22</f>
        <v>58259.532070175432</v>
      </c>
      <c r="F22" s="67">
        <f>D22</f>
        <v>58065.301801169589</v>
      </c>
      <c r="G22" s="68">
        <f t="shared" si="0"/>
        <v>194.23026900584227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111007.19461988304</v>
      </c>
      <c r="E23" s="67">
        <f>E19*I23</f>
        <v>111378.51719298244</v>
      </c>
      <c r="F23" s="67">
        <f>D23</f>
        <v>111007.19461988304</v>
      </c>
      <c r="G23" s="68">
        <f t="shared" si="0"/>
        <v>371.32257309940178</v>
      </c>
      <c r="H23" s="71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5">
        <f t="shared" ref="F24:F26" si="2">D24</f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196396.08</v>
      </c>
      <c r="E25" s="166">
        <v>195973.59</v>
      </c>
      <c r="F25" s="165">
        <f t="shared" si="2"/>
        <v>196396.08</v>
      </c>
      <c r="G25" s="166">
        <f t="shared" si="0"/>
        <v>-422.48999999999069</v>
      </c>
    </row>
    <row r="26" spans="1:9" s="186" customFormat="1" ht="14.25" x14ac:dyDescent="0.2">
      <c r="A26" s="137" t="s">
        <v>29</v>
      </c>
      <c r="B26" s="170" t="s">
        <v>248</v>
      </c>
      <c r="C26" s="171">
        <v>1755.25</v>
      </c>
      <c r="D26" s="166">
        <v>12381.93</v>
      </c>
      <c r="E26" s="166">
        <v>11999.97</v>
      </c>
      <c r="F26" s="165">
        <f t="shared" si="2"/>
        <v>12381.93</v>
      </c>
      <c r="G26" s="166">
        <f t="shared" si="0"/>
        <v>-381.96000000000095</v>
      </c>
    </row>
    <row r="27" spans="1:9" s="186" customFormat="1" ht="14.25" x14ac:dyDescent="0.2">
      <c r="A27" s="137" t="s">
        <v>31</v>
      </c>
      <c r="B27" s="170" t="s">
        <v>132</v>
      </c>
      <c r="C27" s="180">
        <v>3</v>
      </c>
      <c r="D27" s="166">
        <v>89660.64</v>
      </c>
      <c r="E27" s="166">
        <v>112046.26</v>
      </c>
      <c r="F27" s="165">
        <f>F43</f>
        <v>195847.17260000002</v>
      </c>
      <c r="G27" s="166">
        <f t="shared" si="0"/>
        <v>22385.619999999995</v>
      </c>
    </row>
    <row r="28" spans="1:9" s="186" customFormat="1" ht="14.25" x14ac:dyDescent="0.2">
      <c r="A28" s="137" t="s">
        <v>33</v>
      </c>
      <c r="B28" s="36" t="s">
        <v>34</v>
      </c>
      <c r="C28" s="202">
        <v>7.33</v>
      </c>
      <c r="D28" s="166">
        <v>15376.2</v>
      </c>
      <c r="E28" s="166">
        <v>15831.77</v>
      </c>
      <c r="F28" s="165">
        <f>F51</f>
        <v>704174.56</v>
      </c>
      <c r="G28" s="166">
        <f t="shared" si="0"/>
        <v>455.56999999999971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1480274.3800000001</v>
      </c>
      <c r="E29" s="166">
        <f>SUM(E30:E33)</f>
        <v>1479555.77</v>
      </c>
      <c r="F29" s="166">
        <f>SUM(F30:F33)</f>
        <v>1480274.3800000001</v>
      </c>
      <c r="G29" s="166">
        <f>SUM(G30:G33)</f>
        <v>-718.61000000008062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9769.92</v>
      </c>
      <c r="E30" s="68">
        <v>9782.77</v>
      </c>
      <c r="F30" s="68">
        <f>D30</f>
        <v>9769.92</v>
      </c>
      <c r="G30" s="68">
        <f>E30-D30</f>
        <v>12.850000000000364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567237.68000000005</v>
      </c>
      <c r="E31" s="68">
        <v>550247.47</v>
      </c>
      <c r="F31" s="68">
        <f t="shared" ref="F31:F33" si="3">D31</f>
        <v>567237.68000000005</v>
      </c>
      <c r="G31" s="68">
        <f>E31-D31</f>
        <v>-16990.210000000079</v>
      </c>
    </row>
    <row r="32" spans="1:9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 t="shared" si="3"/>
        <v>0</v>
      </c>
      <c r="G32" s="68">
        <f>E32-D32</f>
        <v>0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903266.78</v>
      </c>
      <c r="E33" s="68">
        <v>919525.53</v>
      </c>
      <c r="F33" s="68">
        <f t="shared" si="3"/>
        <v>903266.78</v>
      </c>
      <c r="G33" s="68">
        <f>E33-D33</f>
        <v>16258.75</v>
      </c>
    </row>
    <row r="34" spans="1:10" s="20" customFormat="1" ht="1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456281.59999999986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-696908.28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-95211.932600000029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5.5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10" ht="8.25" customHeight="1" x14ac:dyDescent="0.25"/>
    <row r="42" spans="1:10" s="7" customFormat="1" ht="28.5" customHeight="1" x14ac:dyDescent="0.25">
      <c r="A42" s="5" t="s">
        <v>11</v>
      </c>
      <c r="B42" s="191" t="s">
        <v>45</v>
      </c>
      <c r="C42" s="192"/>
      <c r="D42" s="5" t="s">
        <v>254</v>
      </c>
      <c r="E42" s="5" t="s">
        <v>253</v>
      </c>
      <c r="F42" s="306" t="s">
        <v>46</v>
      </c>
      <c r="G42" s="312"/>
    </row>
    <row r="43" spans="1:10" s="12" customFormat="1" ht="13.5" customHeight="1" x14ac:dyDescent="0.25">
      <c r="A43" s="11" t="s">
        <v>47</v>
      </c>
      <c r="B43" s="308" t="s">
        <v>127</v>
      </c>
      <c r="C43" s="309"/>
      <c r="D43" s="194"/>
      <c r="E43" s="194"/>
      <c r="F43" s="318">
        <f>SUM(F44:G50)</f>
        <v>195847.17260000002</v>
      </c>
      <c r="G43" s="319"/>
    </row>
    <row r="44" spans="1:10" ht="13.5" customHeight="1" x14ac:dyDescent="0.25">
      <c r="A44" s="9" t="s">
        <v>16</v>
      </c>
      <c r="B44" s="321" t="s">
        <v>272</v>
      </c>
      <c r="C44" s="322"/>
      <c r="D44" s="193" t="s">
        <v>262</v>
      </c>
      <c r="E44" s="181">
        <v>2</v>
      </c>
      <c r="F44" s="320">
        <v>298</v>
      </c>
      <c r="G44" s="320"/>
    </row>
    <row r="45" spans="1:10" ht="13.5" customHeight="1" x14ac:dyDescent="0.25">
      <c r="A45" s="9" t="s">
        <v>18</v>
      </c>
      <c r="B45" s="321" t="s">
        <v>273</v>
      </c>
      <c r="C45" s="322"/>
      <c r="D45" s="193" t="s">
        <v>262</v>
      </c>
      <c r="E45" s="181">
        <v>1</v>
      </c>
      <c r="F45" s="320">
        <v>3210.21</v>
      </c>
      <c r="G45" s="320"/>
    </row>
    <row r="46" spans="1:10" ht="23.25" customHeight="1" x14ac:dyDescent="0.25">
      <c r="A46" s="9" t="s">
        <v>20</v>
      </c>
      <c r="B46" s="321" t="s">
        <v>274</v>
      </c>
      <c r="C46" s="322"/>
      <c r="D46" s="193" t="s">
        <v>255</v>
      </c>
      <c r="E46" s="181">
        <v>19.399999999999999</v>
      </c>
      <c r="F46" s="323">
        <v>113111</v>
      </c>
      <c r="G46" s="324"/>
    </row>
    <row r="47" spans="1:10" ht="23.25" customHeight="1" x14ac:dyDescent="0.25">
      <c r="A47" s="9" t="s">
        <v>22</v>
      </c>
      <c r="B47" s="321" t="s">
        <v>275</v>
      </c>
      <c r="C47" s="322"/>
      <c r="D47" s="205" t="s">
        <v>267</v>
      </c>
      <c r="E47" s="209">
        <v>22</v>
      </c>
      <c r="F47" s="323">
        <v>40761</v>
      </c>
      <c r="G47" s="324"/>
    </row>
    <row r="48" spans="1:10" ht="13.5" customHeight="1" x14ac:dyDescent="0.25">
      <c r="A48" s="9" t="s">
        <v>24</v>
      </c>
      <c r="B48" s="321" t="s">
        <v>264</v>
      </c>
      <c r="C48" s="322"/>
      <c r="D48" s="205" t="s">
        <v>255</v>
      </c>
      <c r="E48" s="209">
        <v>15</v>
      </c>
      <c r="F48" s="323">
        <v>4568.2</v>
      </c>
      <c r="G48" s="324"/>
    </row>
    <row r="49" spans="1:7" ht="13.5" customHeight="1" x14ac:dyDescent="0.25">
      <c r="A49" s="9" t="s">
        <v>117</v>
      </c>
      <c r="B49" s="321" t="s">
        <v>276</v>
      </c>
      <c r="C49" s="322"/>
      <c r="D49" s="206" t="s">
        <v>262</v>
      </c>
      <c r="E49" s="210">
        <v>24</v>
      </c>
      <c r="F49" s="323">
        <v>32778.300000000003</v>
      </c>
      <c r="G49" s="324"/>
    </row>
    <row r="50" spans="1:7" ht="13.5" customHeight="1" x14ac:dyDescent="0.25">
      <c r="A50" s="9" t="s">
        <v>118</v>
      </c>
      <c r="B50" s="321" t="s">
        <v>533</v>
      </c>
      <c r="C50" s="322"/>
      <c r="D50" s="193"/>
      <c r="E50" s="181"/>
      <c r="F50" s="320">
        <f>E27*1%</f>
        <v>1120.4626000000001</v>
      </c>
      <c r="G50" s="320"/>
    </row>
    <row r="51" spans="1:7" ht="13.5" customHeight="1" x14ac:dyDescent="0.25">
      <c r="A51" s="136">
        <v>2</v>
      </c>
      <c r="B51" s="207" t="s">
        <v>105</v>
      </c>
      <c r="C51" s="208"/>
      <c r="D51" s="194"/>
      <c r="E51" s="211"/>
      <c r="F51" s="318">
        <f>SUM(F52:G53)</f>
        <v>704174.56</v>
      </c>
      <c r="G51" s="319"/>
    </row>
    <row r="52" spans="1:7" x14ac:dyDescent="0.25">
      <c r="A52" s="9" t="s">
        <v>104</v>
      </c>
      <c r="B52" s="321" t="s">
        <v>521</v>
      </c>
      <c r="C52" s="322"/>
      <c r="D52" s="193" t="s">
        <v>295</v>
      </c>
      <c r="E52" s="181">
        <v>55.05</v>
      </c>
      <c r="F52" s="323">
        <v>250853.12</v>
      </c>
      <c r="G52" s="324"/>
    </row>
    <row r="53" spans="1:7" s="3" customFormat="1" x14ac:dyDescent="0.25">
      <c r="A53" s="9" t="s">
        <v>116</v>
      </c>
      <c r="B53" s="321" t="s">
        <v>522</v>
      </c>
      <c r="C53" s="322"/>
      <c r="D53" s="193" t="s">
        <v>255</v>
      </c>
      <c r="E53" s="181">
        <v>58</v>
      </c>
      <c r="F53" s="323">
        <v>453321.44</v>
      </c>
      <c r="G53" s="324"/>
    </row>
    <row r="54" spans="1:7" s="3" customFormat="1" x14ac:dyDescent="0.25">
      <c r="A54" s="49"/>
      <c r="B54" s="273"/>
      <c r="C54" s="273"/>
      <c r="D54" s="274"/>
      <c r="E54" s="275"/>
      <c r="F54" s="276"/>
      <c r="G54" s="276"/>
    </row>
    <row r="55" spans="1:7" s="3" customFormat="1" x14ac:dyDescent="0.25">
      <c r="A55" s="3" t="s">
        <v>55</v>
      </c>
      <c r="C55" s="3" t="s">
        <v>49</v>
      </c>
      <c r="F55" s="3" t="s">
        <v>102</v>
      </c>
    </row>
    <row r="56" spans="1:7" s="3" customFormat="1" ht="13.5" customHeight="1" x14ac:dyDescent="0.25">
      <c r="F56" s="4" t="s">
        <v>265</v>
      </c>
    </row>
    <row r="57" spans="1:7" s="3" customFormat="1" x14ac:dyDescent="0.25">
      <c r="A57" s="3" t="s">
        <v>50</v>
      </c>
    </row>
    <row r="58" spans="1:7" s="3" customFormat="1" x14ac:dyDescent="0.25">
      <c r="C58" s="14" t="s">
        <v>51</v>
      </c>
      <c r="E58" s="14"/>
      <c r="F58" s="14"/>
      <c r="G58" s="14"/>
    </row>
    <row r="59" spans="1:7" s="3" customFormat="1" x14ac:dyDescent="0.25"/>
    <row r="60" spans="1:7" s="3" customFormat="1" x14ac:dyDescent="0.25"/>
  </sheetData>
  <mergeCells count="32">
    <mergeCell ref="B53:C53"/>
    <mergeCell ref="F53:G53"/>
    <mergeCell ref="F52:G52"/>
    <mergeCell ref="F47:G47"/>
    <mergeCell ref="F48:G48"/>
    <mergeCell ref="F49:G49"/>
    <mergeCell ref="B50:C50"/>
    <mergeCell ref="F51:G51"/>
    <mergeCell ref="F50:G50"/>
    <mergeCell ref="B47:C47"/>
    <mergeCell ref="B48:C48"/>
    <mergeCell ref="B49:C49"/>
    <mergeCell ref="B52:C52"/>
    <mergeCell ref="F45:G45"/>
    <mergeCell ref="A12:I12"/>
    <mergeCell ref="A40:I40"/>
    <mergeCell ref="F42:G42"/>
    <mergeCell ref="F46:G46"/>
    <mergeCell ref="A13:C13"/>
    <mergeCell ref="B46:C46"/>
    <mergeCell ref="B45:C45"/>
    <mergeCell ref="A1:I1"/>
    <mergeCell ref="A2:I2"/>
    <mergeCell ref="A5:I5"/>
    <mergeCell ref="A10:I10"/>
    <mergeCell ref="A3:K3"/>
    <mergeCell ref="A11:I11"/>
    <mergeCell ref="F43:G43"/>
    <mergeCell ref="A35:C35"/>
    <mergeCell ref="F44:G44"/>
    <mergeCell ref="B43:C43"/>
    <mergeCell ref="B44:C44"/>
  </mergeCells>
  <phoneticPr fontId="18" type="noConversion"/>
  <pageMargins left="0" right="0" top="0" bottom="0" header="0.31496062992125984" footer="0.31496062992125984"/>
  <pageSetup paperSize="9" scale="96" orientation="portrait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F46" sqref="F46"/>
    </sheetView>
  </sheetViews>
  <sheetFormatPr defaultRowHeight="12.75" outlineLevelCol="1" x14ac:dyDescent="0.2"/>
  <cols>
    <col min="1" max="1" width="5.85546875" style="23" customWidth="1"/>
    <col min="2" max="2" width="47" style="23" customWidth="1"/>
    <col min="3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448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449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450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451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28.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120187.43</v>
      </c>
      <c r="E17" s="165">
        <v>113340.61</v>
      </c>
      <c r="F17" s="165">
        <f>D17</f>
        <v>120187.43</v>
      </c>
      <c r="G17" s="166">
        <f>E17-D17</f>
        <v>-6846.8199999999924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43295.588818713448</v>
      </c>
      <c r="E18" s="67">
        <f>E17*I18</f>
        <v>40829.132023391809</v>
      </c>
      <c r="F18" s="67">
        <f>D18</f>
        <v>43295.588818713448</v>
      </c>
      <c r="G18" s="68">
        <f t="shared" ref="G18:G26" si="0">E18-D18</f>
        <v>-2466.4567953216392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21226.084128654969</v>
      </c>
      <c r="E19" s="67">
        <f>E17*I19</f>
        <v>20016.879660818711</v>
      </c>
      <c r="F19" s="67">
        <f>D19</f>
        <v>21226.084128654969</v>
      </c>
      <c r="G19" s="68">
        <f t="shared" si="0"/>
        <v>-1209.2044678362581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19117.532725146197</v>
      </c>
      <c r="E20" s="67">
        <f>E17*I20</f>
        <v>18028.447906432746</v>
      </c>
      <c r="F20" s="67">
        <f>D20</f>
        <v>19117.532725146197</v>
      </c>
      <c r="G20" s="68">
        <f t="shared" si="0"/>
        <v>-1089.0848187134507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36548.224327485375</v>
      </c>
      <c r="E21" s="67">
        <f>E17*I21</f>
        <v>34466.15040935672</v>
      </c>
      <c r="F21" s="67">
        <f>D21</f>
        <v>36548.224327485375</v>
      </c>
      <c r="G21" s="68">
        <f t="shared" si="0"/>
        <v>-2082.0739181286554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64661.74</v>
      </c>
      <c r="E23" s="172">
        <v>60551.88</v>
      </c>
      <c r="F23" s="172">
        <f>D23</f>
        <v>64661.74</v>
      </c>
      <c r="G23" s="172">
        <f t="shared" si="0"/>
        <v>-4109.8600000000006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23194.82</v>
      </c>
      <c r="E25" s="172">
        <v>21720.62</v>
      </c>
      <c r="F25" s="172">
        <f>F40</f>
        <v>158770.72619999998</v>
      </c>
      <c r="G25" s="172">
        <f>E25-D25</f>
        <v>-1474.2000000000007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551033.60000000009</v>
      </c>
      <c r="E27" s="166">
        <f>SUM(E28:E31)</f>
        <v>509916.93999999994</v>
      </c>
      <c r="F27" s="166">
        <f>SUM(F28:F31)</f>
        <v>551033.60000000009</v>
      </c>
      <c r="G27" s="166">
        <f>SUM(G28:G31)</f>
        <v>-41116.660000000047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2415.75</v>
      </c>
      <c r="E28" s="68">
        <v>2261.77</v>
      </c>
      <c r="F28" s="68">
        <f>D28</f>
        <v>2415.75</v>
      </c>
      <c r="G28" s="68">
        <f>E28-D28</f>
        <v>-153.98000000000002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150840.20000000001</v>
      </c>
      <c r="E29" s="68">
        <v>137318.76</v>
      </c>
      <c r="F29" s="68">
        <f>D29</f>
        <v>150840.20000000001</v>
      </c>
      <c r="G29" s="68">
        <f>E29-D29</f>
        <v>-13521.440000000002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397777.65</v>
      </c>
      <c r="E31" s="68">
        <v>370336.41</v>
      </c>
      <c r="F31" s="68">
        <f>D31</f>
        <v>397777.65</v>
      </c>
      <c r="G31" s="68">
        <f>E31-D31</f>
        <v>-27441.240000000049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53547.540000000154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-137050.10619999998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5.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8" spans="1:14" ht="23.25" customHeight="1" x14ac:dyDescent="0.2"/>
    <row r="39" spans="1:14" ht="28.5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SUM(F41:G45)</f>
        <v>158770.72619999998</v>
      </c>
      <c r="G40" s="312"/>
      <c r="H40" s="59"/>
      <c r="I40" s="60"/>
      <c r="J40" s="12"/>
      <c r="K40" s="12"/>
      <c r="N40" s="54"/>
    </row>
    <row r="41" spans="1:14" s="12" customFormat="1" ht="15" x14ac:dyDescent="0.25">
      <c r="A41" s="9" t="s">
        <v>16</v>
      </c>
      <c r="B41" s="298" t="s">
        <v>452</v>
      </c>
      <c r="C41" s="299"/>
      <c r="D41" s="177" t="s">
        <v>255</v>
      </c>
      <c r="E41" s="177">
        <v>2</v>
      </c>
      <c r="F41" s="329">
        <v>1981.36</v>
      </c>
      <c r="G41" s="330"/>
      <c r="H41" s="61"/>
      <c r="I41" s="62"/>
      <c r="J41" s="23"/>
      <c r="K41" s="23"/>
      <c r="N41" s="55"/>
    </row>
    <row r="42" spans="1:14" s="12" customFormat="1" ht="15" x14ac:dyDescent="0.25">
      <c r="A42" s="9" t="s">
        <v>18</v>
      </c>
      <c r="B42" s="298" t="s">
        <v>453</v>
      </c>
      <c r="C42" s="299"/>
      <c r="D42" s="177" t="s">
        <v>262</v>
      </c>
      <c r="E42" s="177">
        <v>1</v>
      </c>
      <c r="F42" s="329">
        <v>8681.16</v>
      </c>
      <c r="G42" s="330"/>
      <c r="H42" s="90"/>
      <c r="I42" s="90"/>
      <c r="J42" s="23"/>
      <c r="K42" s="23"/>
      <c r="N42" s="55"/>
    </row>
    <row r="43" spans="1:14" s="12" customFormat="1" ht="15" x14ac:dyDescent="0.25">
      <c r="A43" s="9" t="s">
        <v>20</v>
      </c>
      <c r="B43" s="298" t="s">
        <v>454</v>
      </c>
      <c r="C43" s="299"/>
      <c r="D43" s="177"/>
      <c r="E43" s="177"/>
      <c r="F43" s="329">
        <v>144852</v>
      </c>
      <c r="G43" s="330"/>
      <c r="H43" s="90"/>
      <c r="I43" s="90"/>
      <c r="J43" s="23"/>
      <c r="K43" s="23"/>
      <c r="N43" s="55"/>
    </row>
    <row r="44" spans="1:14" s="12" customFormat="1" ht="15" x14ac:dyDescent="0.25">
      <c r="A44" s="9" t="s">
        <v>22</v>
      </c>
      <c r="B44" s="298" t="s">
        <v>416</v>
      </c>
      <c r="C44" s="299"/>
      <c r="D44" s="177" t="s">
        <v>255</v>
      </c>
      <c r="E44" s="177">
        <v>2.5</v>
      </c>
      <c r="F44" s="329">
        <v>3039</v>
      </c>
      <c r="G44" s="330"/>
      <c r="H44" s="90"/>
      <c r="I44" s="90"/>
      <c r="J44" s="23"/>
      <c r="K44" s="23"/>
      <c r="N44" s="55"/>
    </row>
    <row r="45" spans="1:14" s="25" customFormat="1" ht="15" x14ac:dyDescent="0.25">
      <c r="A45" s="9" t="s">
        <v>24</v>
      </c>
      <c r="B45" s="327" t="s">
        <v>533</v>
      </c>
      <c r="C45" s="328"/>
      <c r="D45" s="246"/>
      <c r="E45" s="246"/>
      <c r="F45" s="317">
        <f>E25*1%</f>
        <v>217.2062</v>
      </c>
      <c r="G45" s="317"/>
    </row>
    <row r="46" spans="1:14" s="25" customFormat="1" x14ac:dyDescent="0.2"/>
    <row r="47" spans="1:14" s="3" customFormat="1" ht="15" x14ac:dyDescent="0.25">
      <c r="A47" s="3" t="s">
        <v>55</v>
      </c>
      <c r="C47" s="101" t="s">
        <v>49</v>
      </c>
      <c r="F47" s="3" t="s">
        <v>102</v>
      </c>
    </row>
    <row r="48" spans="1:14" s="25" customFormat="1" ht="15" x14ac:dyDescent="0.25">
      <c r="A48" s="3"/>
      <c r="B48" s="3"/>
      <c r="C48" s="101"/>
      <c r="D48" s="3"/>
      <c r="E48" s="3"/>
      <c r="F48" s="4" t="s">
        <v>265</v>
      </c>
      <c r="G48" s="3"/>
    </row>
    <row r="49" spans="1:10" s="25" customFormat="1" ht="15" x14ac:dyDescent="0.25">
      <c r="A49" s="3" t="s">
        <v>50</v>
      </c>
      <c r="B49" s="3"/>
      <c r="C49" s="101"/>
      <c r="D49" s="3"/>
      <c r="E49" s="3"/>
      <c r="F49" s="3"/>
      <c r="G49" s="3"/>
      <c r="H49" s="34"/>
      <c r="I49" s="34"/>
      <c r="J49" s="34"/>
    </row>
    <row r="50" spans="1:10" s="25" customFormat="1" ht="15" x14ac:dyDescent="0.25">
      <c r="A50" s="3"/>
      <c r="B50" s="3"/>
      <c r="C50" s="106" t="s">
        <v>51</v>
      </c>
      <c r="D50" s="3"/>
      <c r="E50" s="14"/>
      <c r="F50" s="14"/>
      <c r="G50" s="14"/>
    </row>
    <row r="51" spans="1:10" s="25" customFormat="1" x14ac:dyDescent="0.2"/>
  </sheetData>
  <mergeCells count="24">
    <mergeCell ref="B45:C45"/>
    <mergeCell ref="F45:G45"/>
    <mergeCell ref="B44:C44"/>
    <mergeCell ref="F44:G44"/>
    <mergeCell ref="A1:K1"/>
    <mergeCell ref="A2:K2"/>
    <mergeCell ref="A3:K3"/>
    <mergeCell ref="A5:K5"/>
    <mergeCell ref="A9:K9"/>
    <mergeCell ref="A10:K10"/>
    <mergeCell ref="B42:C42"/>
    <mergeCell ref="F42:G42"/>
    <mergeCell ref="B43:C43"/>
    <mergeCell ref="F43:G43"/>
    <mergeCell ref="A11:K11"/>
    <mergeCell ref="A12:C12"/>
    <mergeCell ref="B41:C41"/>
    <mergeCell ref="F41:G41"/>
    <mergeCell ref="A33:C33"/>
    <mergeCell ref="A37:K37"/>
    <mergeCell ref="B39:C39"/>
    <mergeCell ref="F39:G39"/>
    <mergeCell ref="B40:C40"/>
    <mergeCell ref="F40:G4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F42" sqref="F42"/>
    </sheetView>
  </sheetViews>
  <sheetFormatPr defaultRowHeight="12.75" outlineLevelCol="1" x14ac:dyDescent="0.2"/>
  <cols>
    <col min="1" max="1" width="5.85546875" style="23" customWidth="1"/>
    <col min="2" max="2" width="48.28515625" style="23" customWidth="1"/>
    <col min="3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455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456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441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429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162418.56</v>
      </c>
      <c r="E17" s="165">
        <v>148204.99</v>
      </c>
      <c r="F17" s="165">
        <f>D17</f>
        <v>162418.56</v>
      </c>
      <c r="G17" s="166">
        <f>E17-D17</f>
        <v>-14213.570000000007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58508.674245614035</v>
      </c>
      <c r="E18" s="67">
        <f>E17*I18</f>
        <v>53388.464233918123</v>
      </c>
      <c r="F18" s="67">
        <f>D18</f>
        <v>58508.674245614035</v>
      </c>
      <c r="G18" s="68">
        <f t="shared" ref="G18:G26" si="0">E18-D18</f>
        <v>-5120.2100116959118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28684.44743859649</v>
      </c>
      <c r="E19" s="67">
        <f>E17*I19</f>
        <v>26174.214608187132</v>
      </c>
      <c r="F19" s="67">
        <f>D19</f>
        <v>28684.44743859649</v>
      </c>
      <c r="G19" s="68">
        <f t="shared" si="0"/>
        <v>-2510.2328304093571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25834.999017543858</v>
      </c>
      <c r="E20" s="67">
        <f>E17*I20</f>
        <v>23574.12706432748</v>
      </c>
      <c r="F20" s="67">
        <f>D20</f>
        <v>25834.999017543858</v>
      </c>
      <c r="G20" s="68">
        <f t="shared" si="0"/>
        <v>-2260.8719532163777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49390.439298245612</v>
      </c>
      <c r="E21" s="67">
        <f>E17*I21</f>
        <v>45068.184093567244</v>
      </c>
      <c r="F21" s="67">
        <f>D21</f>
        <v>49390.439298245612</v>
      </c>
      <c r="G21" s="68">
        <f t="shared" si="0"/>
        <v>-4322.2552046783676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87382.64</v>
      </c>
      <c r="E23" s="172">
        <v>79797.56</v>
      </c>
      <c r="F23" s="172">
        <f>D23</f>
        <v>87382.64</v>
      </c>
      <c r="G23" s="172">
        <f t="shared" si="0"/>
        <v>-7585.0800000000017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31344.6</v>
      </c>
      <c r="E25" s="172">
        <v>28601.62</v>
      </c>
      <c r="F25" s="172">
        <f>F40</f>
        <v>286.01619999999997</v>
      </c>
      <c r="G25" s="172">
        <f>E25-D25</f>
        <v>-2742.9799999999996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683673.11</v>
      </c>
      <c r="E27" s="166">
        <f>SUM(E28:E31)</f>
        <v>594135.39</v>
      </c>
      <c r="F27" s="166">
        <f>SUM(F28:F31)</f>
        <v>683673.11</v>
      </c>
      <c r="G27" s="166">
        <f>SUM(G28:G31)</f>
        <v>-89537.72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3419.06</v>
      </c>
      <c r="E28" s="68">
        <v>3113.07</v>
      </c>
      <c r="F28" s="68">
        <f>D28</f>
        <v>3419.06</v>
      </c>
      <c r="G28" s="68">
        <f>E28-D28</f>
        <v>-305.98999999999978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184284.85</v>
      </c>
      <c r="E29" s="68">
        <v>143558.45000000001</v>
      </c>
      <c r="F29" s="68">
        <f>D29</f>
        <v>184284.85</v>
      </c>
      <c r="G29" s="68">
        <f>E29-D29</f>
        <v>-40726.399999999994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495969.2</v>
      </c>
      <c r="E31" s="68">
        <v>447463.87</v>
      </c>
      <c r="F31" s="68">
        <f>D31</f>
        <v>495969.2</v>
      </c>
      <c r="G31" s="68">
        <f>E31-D31</f>
        <v>-48505.330000000016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114079.34999999986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28315.603800000001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5.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9" spans="1:14" ht="28.5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SUM(F41:G41)</f>
        <v>286.01619999999997</v>
      </c>
      <c r="G40" s="312"/>
      <c r="H40" s="59"/>
      <c r="I40" s="60"/>
      <c r="J40" s="12"/>
      <c r="K40" s="12"/>
      <c r="N40" s="54"/>
    </row>
    <row r="41" spans="1:14" s="25" customFormat="1" ht="15" x14ac:dyDescent="0.25">
      <c r="A41" s="9" t="s">
        <v>18</v>
      </c>
      <c r="B41" s="327" t="s">
        <v>533</v>
      </c>
      <c r="C41" s="328"/>
      <c r="D41" s="246"/>
      <c r="E41" s="246"/>
      <c r="F41" s="317">
        <f>E25*1%</f>
        <v>286.01619999999997</v>
      </c>
      <c r="G41" s="317"/>
    </row>
    <row r="42" spans="1:14" s="25" customFormat="1" x14ac:dyDescent="0.2"/>
    <row r="43" spans="1:14" s="3" customFormat="1" ht="15" x14ac:dyDescent="0.25">
      <c r="A43" s="3" t="s">
        <v>55</v>
      </c>
      <c r="C43" s="101" t="s">
        <v>49</v>
      </c>
      <c r="F43" s="3" t="s">
        <v>102</v>
      </c>
    </row>
    <row r="44" spans="1:14" s="25" customFormat="1" ht="15" x14ac:dyDescent="0.25">
      <c r="A44" s="3"/>
      <c r="B44" s="3"/>
      <c r="C44" s="101"/>
      <c r="D44" s="3"/>
      <c r="E44" s="3"/>
      <c r="F44" s="4" t="s">
        <v>265</v>
      </c>
      <c r="G44" s="3"/>
    </row>
    <row r="45" spans="1:14" s="25" customFormat="1" ht="15" x14ac:dyDescent="0.2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4" s="25" customFormat="1" ht="15" x14ac:dyDescent="0.25">
      <c r="A46" s="3"/>
      <c r="B46" s="3"/>
      <c r="C46" s="106" t="s">
        <v>51</v>
      </c>
      <c r="D46" s="3"/>
      <c r="E46" s="14"/>
      <c r="F46" s="14"/>
      <c r="G46" s="14"/>
    </row>
    <row r="47" spans="1:14" s="25" customFormat="1" x14ac:dyDescent="0.2"/>
  </sheetData>
  <mergeCells count="16">
    <mergeCell ref="B40:C40"/>
    <mergeCell ref="F40:G40"/>
    <mergeCell ref="B41:C41"/>
    <mergeCell ref="F41:G41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F42" sqref="F42:G42"/>
    </sheetView>
  </sheetViews>
  <sheetFormatPr defaultRowHeight="12.75" outlineLevelCol="1" x14ac:dyDescent="0.2"/>
  <cols>
    <col min="1" max="1" width="5.5703125" style="23" customWidth="1"/>
    <col min="2" max="2" width="47.7109375" style="23" customWidth="1"/>
    <col min="3" max="3" width="15.85546875" style="23" customWidth="1"/>
    <col min="4" max="4" width="14.85546875" style="23" customWidth="1"/>
    <col min="5" max="5" width="12.85546875" style="23" customWidth="1"/>
    <col min="6" max="6" width="13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220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221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457</v>
      </c>
      <c r="B12" s="288"/>
      <c r="C12" s="288"/>
      <c r="D12" s="73">
        <v>78941.91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87" t="s">
        <v>215</v>
      </c>
      <c r="B14" s="43"/>
      <c r="C14" s="43"/>
      <c r="D14" s="44"/>
      <c r="E14" s="45"/>
      <c r="F14" s="45"/>
      <c r="G14" s="73">
        <v>8495.51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28.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335381.64</v>
      </c>
      <c r="E17" s="165">
        <v>302914.05</v>
      </c>
      <c r="F17" s="165">
        <f>D17</f>
        <v>335381.64</v>
      </c>
      <c r="G17" s="166">
        <f>E17-D17</f>
        <v>-32467.590000000026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120815.84224561404</v>
      </c>
      <c r="E18" s="67">
        <f>E17*I18</f>
        <v>109119.91508771929</v>
      </c>
      <c r="F18" s="67">
        <f>D18</f>
        <v>120815.84224561404</v>
      </c>
      <c r="G18" s="68">
        <f t="shared" ref="G18:G26" si="0">E18-D18</f>
        <v>-11695.927157894752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59231.143438596489</v>
      </c>
      <c r="E19" s="67">
        <f>E17*I19</f>
        <v>53497.101228070169</v>
      </c>
      <c r="F19" s="67">
        <f>D19</f>
        <v>59231.143438596489</v>
      </c>
      <c r="G19" s="68">
        <f t="shared" si="0"/>
        <v>-5734.0422105263206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53347.255017543859</v>
      </c>
      <c r="E20" s="67">
        <f>E17*I20</f>
        <v>48182.819649122801</v>
      </c>
      <c r="F20" s="67">
        <f>D20</f>
        <v>53347.255017543859</v>
      </c>
      <c r="G20" s="68">
        <f t="shared" si="0"/>
        <v>-5164.4353684210582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101987.39929824561</v>
      </c>
      <c r="E21" s="67">
        <f>E17*I21</f>
        <v>92114.214035087716</v>
      </c>
      <c r="F21" s="67">
        <f>D21</f>
        <v>101987.39929824561</v>
      </c>
      <c r="G21" s="68">
        <f t="shared" si="0"/>
        <v>-9873.185263157895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180437.76000000001</v>
      </c>
      <c r="E23" s="172">
        <v>163328.5</v>
      </c>
      <c r="F23" s="172">
        <f>D23</f>
        <v>180437.76000000001</v>
      </c>
      <c r="G23" s="172">
        <f t="shared" si="0"/>
        <v>-17109.260000000009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64725</v>
      </c>
      <c r="E25" s="172">
        <v>58564.76</v>
      </c>
      <c r="F25" s="172">
        <f>F40</f>
        <v>11507.6476</v>
      </c>
      <c r="G25" s="172">
        <f>E25-D25</f>
        <v>-6160.239999999998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1584016.15</v>
      </c>
      <c r="E27" s="166">
        <f>SUM(E28:E31)</f>
        <v>1414722.21</v>
      </c>
      <c r="F27" s="166">
        <f>SUM(F28:F31)</f>
        <v>1584016.15</v>
      </c>
      <c r="G27" s="166">
        <f>SUM(G28:G31)</f>
        <v>-169293.93999999994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6947.1</v>
      </c>
      <c r="E28" s="68">
        <v>6285.96</v>
      </c>
      <c r="F28" s="68">
        <f>D28</f>
        <v>6947.1</v>
      </c>
      <c r="G28" s="68">
        <f>E28-D28</f>
        <v>-661.14000000000033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395453.36</v>
      </c>
      <c r="E29" s="68">
        <v>340119.49</v>
      </c>
      <c r="F29" s="68">
        <f>D29</f>
        <v>395453.36</v>
      </c>
      <c r="G29" s="68">
        <f>E29-D29</f>
        <v>-55333.869999999995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1181615.69</v>
      </c>
      <c r="E31" s="68">
        <v>1068316.76</v>
      </c>
      <c r="F31" s="68">
        <f>D31</f>
        <v>1181615.69</v>
      </c>
      <c r="G31" s="68">
        <f>E31-D31</f>
        <v>-113298.92999999993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303972.93999999994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52" t="s">
        <v>243</v>
      </c>
      <c r="B35" s="253"/>
      <c r="C35" s="253"/>
      <c r="D35" s="44"/>
      <c r="E35" s="45"/>
      <c r="F35" s="45"/>
      <c r="G35" s="38">
        <f>G14+E25-F25</f>
        <v>55552.622400000007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15" customFormat="1" ht="24.7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8" spans="1:14" s="20" customFormat="1" ht="9.75" customHeight="1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2"/>
      <c r="M38" s="22"/>
    </row>
    <row r="39" spans="1:14" ht="28.5" customHeight="1" x14ac:dyDescent="0.2">
      <c r="A39" s="254" t="s">
        <v>11</v>
      </c>
      <c r="B39" s="306" t="s">
        <v>45</v>
      </c>
      <c r="C39" s="307"/>
      <c r="D39" s="254" t="s">
        <v>254</v>
      </c>
      <c r="E39" s="254" t="s">
        <v>253</v>
      </c>
      <c r="F39" s="306" t="s">
        <v>46</v>
      </c>
      <c r="G39" s="307"/>
      <c r="H39" s="57"/>
      <c r="I39" s="58"/>
      <c r="J39" s="18"/>
      <c r="K39" s="18"/>
    </row>
    <row r="40" spans="1:14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SUM(F41:G43)</f>
        <v>11507.6476</v>
      </c>
      <c r="G40" s="312"/>
      <c r="H40" s="59"/>
      <c r="I40" s="60"/>
      <c r="J40" s="12"/>
      <c r="K40" s="12"/>
    </row>
    <row r="41" spans="1:14" ht="15" x14ac:dyDescent="0.25">
      <c r="A41" s="9" t="s">
        <v>16</v>
      </c>
      <c r="B41" s="298" t="s">
        <v>433</v>
      </c>
      <c r="C41" s="299"/>
      <c r="D41" s="177" t="s">
        <v>255</v>
      </c>
      <c r="E41" s="177">
        <v>5</v>
      </c>
      <c r="F41" s="329">
        <v>2748</v>
      </c>
      <c r="G41" s="330"/>
      <c r="H41" s="260"/>
      <c r="I41" s="261"/>
      <c r="J41" s="12"/>
      <c r="K41" s="12"/>
    </row>
    <row r="42" spans="1:14" ht="15" x14ac:dyDescent="0.25">
      <c r="A42" s="9" t="s">
        <v>18</v>
      </c>
      <c r="B42" s="298" t="s">
        <v>458</v>
      </c>
      <c r="C42" s="299"/>
      <c r="D42" s="177" t="s">
        <v>255</v>
      </c>
      <c r="E42" s="177">
        <v>6</v>
      </c>
      <c r="F42" s="329">
        <v>8174</v>
      </c>
      <c r="G42" s="330"/>
      <c r="H42" s="260"/>
      <c r="I42" s="261"/>
      <c r="J42" s="12"/>
      <c r="K42" s="12"/>
    </row>
    <row r="43" spans="1:14" s="12" customFormat="1" ht="15" customHeight="1" x14ac:dyDescent="0.25">
      <c r="A43" s="9" t="s">
        <v>20</v>
      </c>
      <c r="B43" s="327" t="s">
        <v>533</v>
      </c>
      <c r="C43" s="328"/>
      <c r="D43" s="246"/>
      <c r="E43" s="246"/>
      <c r="F43" s="317">
        <f>E25*1%</f>
        <v>585.64760000000001</v>
      </c>
      <c r="G43" s="317"/>
      <c r="H43" s="25"/>
      <c r="I43" s="25"/>
      <c r="J43" s="25"/>
      <c r="K43" s="25"/>
      <c r="N43" s="55"/>
    </row>
    <row r="44" spans="1:14" ht="15.75" customHeight="1" x14ac:dyDescent="0.25">
      <c r="A44" s="25"/>
      <c r="B44" s="25"/>
      <c r="C44" s="25"/>
      <c r="D44" s="25"/>
      <c r="E44" s="25"/>
      <c r="F44" s="25"/>
      <c r="G44" s="25"/>
      <c r="H44" s="3"/>
      <c r="I44" s="3"/>
      <c r="J44" s="3"/>
      <c r="K44" s="3"/>
      <c r="N44" s="56"/>
    </row>
    <row r="45" spans="1:14" ht="15" x14ac:dyDescent="0.25">
      <c r="A45" s="3" t="s">
        <v>55</v>
      </c>
      <c r="B45" s="3"/>
      <c r="C45" s="101" t="s">
        <v>49</v>
      </c>
      <c r="D45" s="3"/>
      <c r="E45" s="3"/>
      <c r="F45" s="3" t="s">
        <v>102</v>
      </c>
      <c r="G45" s="3"/>
      <c r="H45" s="25"/>
      <c r="I45" s="25"/>
      <c r="J45" s="25"/>
      <c r="K45" s="25"/>
    </row>
    <row r="46" spans="1:14" s="25" customFormat="1" ht="15" x14ac:dyDescent="0.25">
      <c r="A46" s="3"/>
      <c r="B46" s="3"/>
      <c r="C46" s="101"/>
      <c r="D46" s="3"/>
      <c r="E46" s="3"/>
      <c r="F46" s="4" t="s">
        <v>265</v>
      </c>
      <c r="G46" s="3"/>
      <c r="H46" s="34"/>
      <c r="I46" s="34"/>
      <c r="J46" s="34"/>
    </row>
    <row r="47" spans="1:14" s="25" customFormat="1" ht="15" x14ac:dyDescent="0.25">
      <c r="A47" s="3" t="s">
        <v>50</v>
      </c>
      <c r="B47" s="3"/>
      <c r="C47" s="101"/>
      <c r="D47" s="3"/>
      <c r="E47" s="3"/>
      <c r="F47" s="3"/>
      <c r="G47" s="3"/>
    </row>
    <row r="48" spans="1:14" s="25" customFormat="1" ht="15" x14ac:dyDescent="0.25">
      <c r="A48" s="3"/>
      <c r="B48" s="3"/>
      <c r="C48" s="106" t="s">
        <v>51</v>
      </c>
      <c r="D48" s="3"/>
      <c r="E48" s="14"/>
      <c r="F48" s="14"/>
      <c r="G48" s="14"/>
    </row>
    <row r="49" s="25" customFormat="1" x14ac:dyDescent="0.2"/>
  </sheetData>
  <mergeCells count="20">
    <mergeCell ref="B40:C40"/>
    <mergeCell ref="F40:G40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  <mergeCell ref="B41:C41"/>
    <mergeCell ref="F41:G41"/>
    <mergeCell ref="B42:C42"/>
    <mergeCell ref="F42:G42"/>
    <mergeCell ref="B43:C43"/>
    <mergeCell ref="F43:G4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F43" sqref="F43"/>
    </sheetView>
  </sheetViews>
  <sheetFormatPr defaultRowHeight="12.75" outlineLevelCol="1" x14ac:dyDescent="0.2"/>
  <cols>
    <col min="1" max="1" width="5.85546875" style="23" customWidth="1"/>
    <col min="2" max="2" width="49.140625" style="23" customWidth="1"/>
    <col min="3" max="4" width="14.85546875" style="23" customWidth="1"/>
    <col min="5" max="5" width="13.42578125" style="23" customWidth="1"/>
    <col min="6" max="6" width="13.710937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459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461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446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43" t="s">
        <v>447</v>
      </c>
      <c r="B14" s="244"/>
      <c r="C14" s="244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285201.27</v>
      </c>
      <c r="E17" s="165">
        <v>272617.8</v>
      </c>
      <c r="F17" s="165">
        <f>D17</f>
        <v>285201.27</v>
      </c>
      <c r="G17" s="166">
        <f>E17-D17</f>
        <v>-12583.47000000003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102739.17094736843</v>
      </c>
      <c r="E18" s="67">
        <f>E17*I18</f>
        <v>98206.178245614035</v>
      </c>
      <c r="F18" s="67">
        <f>D18</f>
        <v>102739.17094736843</v>
      </c>
      <c r="G18" s="68">
        <f t="shared" ref="G18:G26" si="0">E18-D18</f>
        <v>-4532.992701754396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50368.879263157891</v>
      </c>
      <c r="E19" s="67">
        <f>E17*I19</f>
        <v>48146.535438596482</v>
      </c>
      <c r="F19" s="67">
        <f>D19</f>
        <v>50368.879263157891</v>
      </c>
      <c r="G19" s="68">
        <f t="shared" si="0"/>
        <v>-2222.3438245614088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45365.348210526317</v>
      </c>
      <c r="E20" s="67">
        <f>E17*I20</f>
        <v>43363.767017543854</v>
      </c>
      <c r="F20" s="67">
        <f>D20</f>
        <v>45365.348210526317</v>
      </c>
      <c r="G20" s="68">
        <f t="shared" si="0"/>
        <v>-2001.5811929824631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86727.871578947364</v>
      </c>
      <c r="E21" s="67">
        <f>E17*I21</f>
        <v>82901.319298245609</v>
      </c>
      <c r="F21" s="67">
        <f>D21</f>
        <v>86727.871578947364</v>
      </c>
      <c r="G21" s="68">
        <f t="shared" si="0"/>
        <v>-3826.5522807017551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153440.82</v>
      </c>
      <c r="E23" s="172">
        <v>146750.21</v>
      </c>
      <c r="F23" s="172">
        <f>D23</f>
        <v>153440.82</v>
      </c>
      <c r="G23" s="172">
        <f t="shared" si="0"/>
        <v>-6690.6100000000151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172">
        <v>1.65</v>
      </c>
      <c r="D25" s="172">
        <v>55040.04</v>
      </c>
      <c r="E25" s="172">
        <v>52611.59</v>
      </c>
      <c r="F25" s="172">
        <f>F40</f>
        <v>3994.1158999999998</v>
      </c>
      <c r="G25" s="172">
        <f>E25-D25</f>
        <v>-2428.4500000000044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1175338.6200000001</v>
      </c>
      <c r="E27" s="166">
        <f>SUM(E28:E31)</f>
        <v>1106183.23</v>
      </c>
      <c r="F27" s="166">
        <f>SUM(F28:F31)</f>
        <v>1175338.6200000001</v>
      </c>
      <c r="G27" s="166">
        <f>SUM(G28:G31)</f>
        <v>-69155.390000000029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5991</v>
      </c>
      <c r="E28" s="68">
        <v>5728.27</v>
      </c>
      <c r="F28" s="68">
        <f>D28</f>
        <v>5991</v>
      </c>
      <c r="G28" s="68">
        <f>E28-D28</f>
        <v>-262.72999999999956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398747.44</v>
      </c>
      <c r="E29" s="68">
        <v>376394.09</v>
      </c>
      <c r="F29" s="68">
        <f>D29</f>
        <v>398747.44</v>
      </c>
      <c r="G29" s="68">
        <f>E29-D29</f>
        <v>-22353.349999999977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770600.18</v>
      </c>
      <c r="E31" s="68">
        <v>724060.87</v>
      </c>
      <c r="F31" s="68">
        <f>D31</f>
        <v>770600.18</v>
      </c>
      <c r="G31" s="68">
        <f>E31-D31</f>
        <v>-46539.310000000056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90857.919999999925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43" t="s">
        <v>243</v>
      </c>
      <c r="B35" s="244"/>
      <c r="C35" s="244"/>
      <c r="D35" s="44"/>
      <c r="E35" s="45"/>
      <c r="F35" s="45"/>
      <c r="G35" s="38">
        <f>G14+E25-F25</f>
        <v>48617.474099999999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5.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9" spans="1:14" ht="28.5" x14ac:dyDescent="0.2">
      <c r="A39" s="245" t="s">
        <v>11</v>
      </c>
      <c r="B39" s="306" t="s">
        <v>45</v>
      </c>
      <c r="C39" s="307"/>
      <c r="D39" s="245" t="s">
        <v>254</v>
      </c>
      <c r="E39" s="245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SUM(F41:G42)</f>
        <v>3994.1158999999998</v>
      </c>
      <c r="G40" s="312"/>
      <c r="H40" s="59"/>
      <c r="I40" s="60"/>
      <c r="J40" s="12"/>
      <c r="K40" s="12"/>
      <c r="N40" s="54"/>
    </row>
    <row r="41" spans="1:14" s="12" customFormat="1" ht="15" x14ac:dyDescent="0.25">
      <c r="A41" s="9" t="s">
        <v>16</v>
      </c>
      <c r="B41" s="298" t="s">
        <v>460</v>
      </c>
      <c r="C41" s="299"/>
      <c r="D41" s="177" t="s">
        <v>262</v>
      </c>
      <c r="E41" s="177">
        <v>1</v>
      </c>
      <c r="F41" s="329">
        <v>3468</v>
      </c>
      <c r="G41" s="330"/>
      <c r="H41" s="61"/>
      <c r="I41" s="62"/>
      <c r="J41" s="23"/>
      <c r="K41" s="23"/>
      <c r="N41" s="55"/>
    </row>
    <row r="42" spans="1:14" s="25" customFormat="1" ht="15" x14ac:dyDescent="0.25">
      <c r="A42" s="9" t="s">
        <v>18</v>
      </c>
      <c r="B42" s="327" t="s">
        <v>533</v>
      </c>
      <c r="C42" s="328"/>
      <c r="D42" s="246"/>
      <c r="E42" s="246"/>
      <c r="F42" s="317">
        <f>E25*1%</f>
        <v>526.11590000000001</v>
      </c>
      <c r="G42" s="317"/>
    </row>
    <row r="43" spans="1:14" s="25" customFormat="1" x14ac:dyDescent="0.2"/>
    <row r="44" spans="1:14" s="3" customFormat="1" ht="15" x14ac:dyDescent="0.25">
      <c r="A44" s="3" t="s">
        <v>55</v>
      </c>
      <c r="C44" s="101" t="s">
        <v>49</v>
      </c>
      <c r="F44" s="3" t="s">
        <v>102</v>
      </c>
    </row>
    <row r="45" spans="1:14" s="25" customFormat="1" ht="15" x14ac:dyDescent="0.25">
      <c r="A45" s="3"/>
      <c r="B45" s="3"/>
      <c r="C45" s="101"/>
      <c r="D45" s="3"/>
      <c r="E45" s="3"/>
      <c r="F45" s="4" t="s">
        <v>265</v>
      </c>
      <c r="G45" s="3"/>
    </row>
    <row r="46" spans="1:14" s="25" customFormat="1" ht="15" x14ac:dyDescent="0.25">
      <c r="A46" s="3" t="s">
        <v>50</v>
      </c>
      <c r="B46" s="3"/>
      <c r="C46" s="101"/>
      <c r="D46" s="3"/>
      <c r="E46" s="3"/>
      <c r="F46" s="3"/>
      <c r="G46" s="3"/>
      <c r="H46" s="34"/>
      <c r="I46" s="34"/>
      <c r="J46" s="34"/>
    </row>
    <row r="47" spans="1:14" s="25" customFormat="1" ht="15" x14ac:dyDescent="0.25">
      <c r="A47" s="3"/>
      <c r="B47" s="3"/>
      <c r="C47" s="106" t="s">
        <v>51</v>
      </c>
      <c r="D47" s="3"/>
      <c r="E47" s="14"/>
      <c r="F47" s="14"/>
      <c r="G47" s="14"/>
    </row>
    <row r="48" spans="1:14" s="25" customFormat="1" x14ac:dyDescent="0.2"/>
  </sheetData>
  <mergeCells count="18">
    <mergeCell ref="B40:C40"/>
    <mergeCell ref="F40:G40"/>
    <mergeCell ref="B41:C41"/>
    <mergeCell ref="F41:G41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>
      <selection activeCell="F43" sqref="F43:G43"/>
    </sheetView>
  </sheetViews>
  <sheetFormatPr defaultRowHeight="12.75" outlineLevelCol="1" x14ac:dyDescent="0.2"/>
  <cols>
    <col min="1" max="1" width="5.42578125" style="23" customWidth="1"/>
    <col min="2" max="2" width="48.5703125" style="23" customWidth="1"/>
    <col min="3" max="3" width="15.42578125" style="23" customWidth="1"/>
    <col min="4" max="4" width="14.85546875" style="23" customWidth="1"/>
    <col min="5" max="5" width="13.5703125" style="23" customWidth="1"/>
    <col min="6" max="6" width="13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222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223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240</v>
      </c>
      <c r="B12" s="288"/>
      <c r="C12" s="288"/>
      <c r="D12" s="73">
        <v>34545.93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87" t="s">
        <v>215</v>
      </c>
      <c r="B14" s="43"/>
      <c r="C14" s="43"/>
      <c r="D14" s="44"/>
      <c r="E14" s="45"/>
      <c r="F14" s="45"/>
      <c r="G14" s="73">
        <v>4884.72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183449.64</v>
      </c>
      <c r="E17" s="165">
        <v>166510.63</v>
      </c>
      <c r="F17" s="165">
        <f>D17</f>
        <v>183449.64</v>
      </c>
      <c r="G17" s="166">
        <f>E17-D17</f>
        <v>-16939.010000000009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66084.782596491234</v>
      </c>
      <c r="E18" s="67">
        <f>E17*I18</f>
        <v>59982.776654970759</v>
      </c>
      <c r="F18" s="67">
        <f>D18</f>
        <v>66084.782596491234</v>
      </c>
      <c r="G18" s="68">
        <f t="shared" ref="G18:G26" si="0">E18-D18</f>
        <v>-6102.0059415204742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32398.708350877194</v>
      </c>
      <c r="E19" s="67">
        <f>E17*I19</f>
        <v>29407.140502923976</v>
      </c>
      <c r="F19" s="67">
        <f>D19</f>
        <v>32398.708350877194</v>
      </c>
      <c r="G19" s="68">
        <f t="shared" si="0"/>
        <v>-2991.567847953218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29180.293614035087</v>
      </c>
      <c r="E20" s="67">
        <f>E17*I20</f>
        <v>26485.901380116957</v>
      </c>
      <c r="F20" s="67">
        <f>D20</f>
        <v>29180.293614035087</v>
      </c>
      <c r="G20" s="68">
        <f t="shared" si="0"/>
        <v>-2694.3922339181299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55785.855438596489</v>
      </c>
      <c r="E21" s="67">
        <f>E17*I21</f>
        <v>50634.811461988305</v>
      </c>
      <c r="F21" s="67">
        <f>D21</f>
        <v>55785.855438596489</v>
      </c>
      <c r="G21" s="68">
        <f t="shared" si="0"/>
        <v>-5151.0439766081836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98697.600000000006</v>
      </c>
      <c r="E23" s="172">
        <v>89712.75</v>
      </c>
      <c r="F23" s="172">
        <f>D23</f>
        <v>98697.600000000006</v>
      </c>
      <c r="G23" s="172">
        <f t="shared" si="0"/>
        <v>-8984.8500000000058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262">
        <v>10</v>
      </c>
      <c r="D25" s="172">
        <v>101201.08</v>
      </c>
      <c r="E25" s="172">
        <v>89372.38</v>
      </c>
      <c r="F25" s="172">
        <f>F40</f>
        <v>269509.79379999998</v>
      </c>
      <c r="G25" s="172">
        <f>E25-D25</f>
        <v>-11828.699999999997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909889.83</v>
      </c>
      <c r="E27" s="166">
        <f>SUM(E28:E31)</f>
        <v>809344.33000000007</v>
      </c>
      <c r="F27" s="166">
        <f>SUM(F28:F31)</f>
        <v>909889.83</v>
      </c>
      <c r="G27" s="166">
        <f>SUM(G28:G31)</f>
        <v>-100545.49999999993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3186.78</v>
      </c>
      <c r="E28" s="68">
        <v>2897.83</v>
      </c>
      <c r="F28" s="68">
        <f>D28</f>
        <v>3186.78</v>
      </c>
      <c r="G28" s="68">
        <f>E28-D28</f>
        <v>-288.95000000000027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260371.47</v>
      </c>
      <c r="E29" s="68">
        <v>216309.47</v>
      </c>
      <c r="F29" s="68">
        <f>D29</f>
        <v>260371.47</v>
      </c>
      <c r="G29" s="68">
        <f>E29-D29</f>
        <v>-44062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646331.57999999996</v>
      </c>
      <c r="E31" s="68">
        <v>590137.03</v>
      </c>
      <c r="F31" s="68">
        <f>D31</f>
        <v>646331.57999999996</v>
      </c>
      <c r="G31" s="68">
        <f>E31-D31</f>
        <v>-56194.54999999993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172843.99000000011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52" t="s">
        <v>243</v>
      </c>
      <c r="B35" s="253"/>
      <c r="C35" s="253"/>
      <c r="D35" s="44"/>
      <c r="E35" s="45"/>
      <c r="F35" s="45"/>
      <c r="G35" s="38">
        <f>G14+E25-F25</f>
        <v>-175252.69379999998</v>
      </c>
      <c r="H35" s="40"/>
      <c r="I35" s="40"/>
    </row>
    <row r="36" spans="1:14" s="15" customFormat="1" ht="1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4" s="20" customFormat="1" ht="29.25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9" spans="1:14" ht="28.5" x14ac:dyDescent="0.2">
      <c r="A39" s="254" t="s">
        <v>11</v>
      </c>
      <c r="B39" s="306" t="s">
        <v>45</v>
      </c>
      <c r="C39" s="307"/>
      <c r="D39" s="254" t="s">
        <v>254</v>
      </c>
      <c r="E39" s="254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SUM(F41:G46)</f>
        <v>269509.79379999998</v>
      </c>
      <c r="G40" s="312"/>
      <c r="H40" s="59"/>
      <c r="I40" s="60"/>
      <c r="J40" s="12"/>
      <c r="K40" s="12"/>
      <c r="N40" s="54"/>
    </row>
    <row r="41" spans="1:14" s="12" customFormat="1" ht="15" customHeight="1" x14ac:dyDescent="0.25">
      <c r="A41" s="9" t="s">
        <v>16</v>
      </c>
      <c r="B41" s="298" t="s">
        <v>463</v>
      </c>
      <c r="C41" s="299"/>
      <c r="D41" s="177"/>
      <c r="E41" s="177"/>
      <c r="F41" s="329">
        <v>2695.07</v>
      </c>
      <c r="G41" s="330"/>
      <c r="H41" s="61"/>
      <c r="I41" s="62"/>
      <c r="J41" s="23"/>
      <c r="K41" s="23"/>
      <c r="N41" s="55"/>
    </row>
    <row r="42" spans="1:14" s="12" customFormat="1" ht="15" customHeight="1" x14ac:dyDescent="0.25">
      <c r="A42" s="9" t="s">
        <v>18</v>
      </c>
      <c r="B42" s="298" t="s">
        <v>414</v>
      </c>
      <c r="C42" s="299"/>
      <c r="D42" s="177"/>
      <c r="E42" s="177"/>
      <c r="F42" s="329">
        <v>227384</v>
      </c>
      <c r="G42" s="330"/>
      <c r="H42" s="90"/>
      <c r="I42" s="90"/>
      <c r="J42" s="23"/>
      <c r="K42" s="23"/>
      <c r="N42" s="55"/>
    </row>
    <row r="43" spans="1:14" s="12" customFormat="1" ht="15" customHeight="1" x14ac:dyDescent="0.25">
      <c r="A43" s="9" t="s">
        <v>20</v>
      </c>
      <c r="B43" s="298" t="s">
        <v>404</v>
      </c>
      <c r="C43" s="299"/>
      <c r="D43" s="177" t="s">
        <v>255</v>
      </c>
      <c r="E43" s="177">
        <v>1</v>
      </c>
      <c r="F43" s="329">
        <v>1042</v>
      </c>
      <c r="G43" s="330"/>
      <c r="H43" s="90"/>
      <c r="I43" s="90"/>
      <c r="J43" s="23"/>
      <c r="K43" s="23"/>
      <c r="N43" s="55"/>
    </row>
    <row r="44" spans="1:14" s="12" customFormat="1" ht="15" customHeight="1" x14ac:dyDescent="0.25">
      <c r="A44" s="9" t="s">
        <v>22</v>
      </c>
      <c r="B44" s="298" t="s">
        <v>406</v>
      </c>
      <c r="C44" s="299"/>
      <c r="D44" s="177" t="s">
        <v>262</v>
      </c>
      <c r="E44" s="177">
        <v>4</v>
      </c>
      <c r="F44" s="329">
        <v>22495</v>
      </c>
      <c r="G44" s="330"/>
      <c r="H44" s="90"/>
      <c r="I44" s="90"/>
      <c r="J44" s="23"/>
      <c r="K44" s="23"/>
      <c r="N44" s="55"/>
    </row>
    <row r="45" spans="1:14" s="12" customFormat="1" ht="15" customHeight="1" x14ac:dyDescent="0.25">
      <c r="A45" s="9" t="s">
        <v>24</v>
      </c>
      <c r="B45" s="298" t="s">
        <v>547</v>
      </c>
      <c r="C45" s="299"/>
      <c r="D45" s="177"/>
      <c r="E45" s="177"/>
      <c r="F45" s="329">
        <v>15000</v>
      </c>
      <c r="G45" s="330"/>
      <c r="H45" s="90"/>
      <c r="I45" s="90"/>
      <c r="J45" s="23"/>
      <c r="K45" s="23"/>
      <c r="N45" s="55"/>
    </row>
    <row r="46" spans="1:14" ht="15.75" customHeight="1" x14ac:dyDescent="0.25">
      <c r="A46" s="9" t="s">
        <v>117</v>
      </c>
      <c r="B46" s="327" t="s">
        <v>533</v>
      </c>
      <c r="C46" s="328"/>
      <c r="D46" s="246"/>
      <c r="E46" s="246"/>
      <c r="F46" s="317">
        <f>E25*1%</f>
        <v>893.7238000000001</v>
      </c>
      <c r="G46" s="317"/>
      <c r="H46" s="25"/>
      <c r="I46" s="25"/>
      <c r="J46" s="25"/>
      <c r="K46" s="25"/>
      <c r="N46" s="56"/>
    </row>
    <row r="47" spans="1:14" ht="7.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4" s="25" customFormat="1" ht="15" x14ac:dyDescent="0.25">
      <c r="A48" s="3" t="s">
        <v>55</v>
      </c>
      <c r="B48" s="3"/>
      <c r="C48" s="101" t="s">
        <v>49</v>
      </c>
      <c r="D48" s="3"/>
      <c r="E48" s="3"/>
      <c r="F48" s="3" t="s">
        <v>102</v>
      </c>
      <c r="G48" s="3"/>
      <c r="H48" s="3"/>
      <c r="I48" s="3"/>
      <c r="J48" s="3"/>
      <c r="K48" s="3"/>
    </row>
    <row r="49" spans="1:11" s="25" customFormat="1" ht="15" x14ac:dyDescent="0.25">
      <c r="A49" s="3"/>
      <c r="B49" s="3"/>
      <c r="C49" s="101"/>
      <c r="D49" s="3"/>
      <c r="E49" s="3"/>
      <c r="F49" s="4" t="s">
        <v>265</v>
      </c>
      <c r="G49" s="3"/>
    </row>
    <row r="50" spans="1:11" s="3" customFormat="1" ht="15" x14ac:dyDescent="0.25">
      <c r="A50" s="3" t="s">
        <v>50</v>
      </c>
      <c r="C50" s="101"/>
      <c r="H50" s="34"/>
      <c r="I50" s="34"/>
      <c r="J50" s="34"/>
      <c r="K50" s="25"/>
    </row>
    <row r="51" spans="1:11" s="25" customFormat="1" ht="15" x14ac:dyDescent="0.25">
      <c r="A51" s="3"/>
      <c r="B51" s="3"/>
      <c r="C51" s="106" t="s">
        <v>51</v>
      </c>
      <c r="D51" s="3"/>
      <c r="E51" s="14"/>
      <c r="F51" s="14"/>
      <c r="G51" s="14"/>
    </row>
    <row r="52" spans="1:11" s="25" customFormat="1" x14ac:dyDescent="0.2"/>
    <row r="53" spans="1:11" s="25" customFormat="1" x14ac:dyDescent="0.2"/>
  </sheetData>
  <mergeCells count="26">
    <mergeCell ref="B40:C40"/>
    <mergeCell ref="F40:G40"/>
    <mergeCell ref="B41:C41"/>
    <mergeCell ref="F41:G41"/>
    <mergeCell ref="B46:C46"/>
    <mergeCell ref="F46:G46"/>
    <mergeCell ref="B42:C42"/>
    <mergeCell ref="F42:G42"/>
    <mergeCell ref="B43:C43"/>
    <mergeCell ref="F43:G43"/>
    <mergeCell ref="B44:C44"/>
    <mergeCell ref="F44:G44"/>
    <mergeCell ref="B45:C45"/>
    <mergeCell ref="F45:G45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F45" sqref="F45"/>
    </sheetView>
  </sheetViews>
  <sheetFormatPr defaultRowHeight="12.75" outlineLevelCol="1" x14ac:dyDescent="0.2"/>
  <cols>
    <col min="1" max="1" width="5.5703125" style="23" customWidth="1"/>
    <col min="2" max="2" width="51.85546875" style="23" customWidth="1"/>
    <col min="3" max="3" width="15.7109375" style="23" customWidth="1"/>
    <col min="4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224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225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240</v>
      </c>
      <c r="B12" s="288"/>
      <c r="C12" s="288"/>
      <c r="D12" s="73">
        <v>35553.03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87" t="s">
        <v>238</v>
      </c>
      <c r="B14" s="43"/>
      <c r="C14" s="43"/>
      <c r="D14" s="44"/>
      <c r="E14" s="45"/>
      <c r="F14" s="45"/>
      <c r="G14" s="73">
        <v>5382.08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203880.15</v>
      </c>
      <c r="E17" s="165">
        <v>193035.32</v>
      </c>
      <c r="F17" s="165">
        <f>D17</f>
        <v>203880.15</v>
      </c>
      <c r="G17" s="166">
        <f>E17-D17</f>
        <v>-10844.829999999987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73444.545263157896</v>
      </c>
      <c r="E18" s="67">
        <f>E17*I18</f>
        <v>69537.869660818717</v>
      </c>
      <c r="F18" s="67">
        <f>D18</f>
        <v>73444.545263157896</v>
      </c>
      <c r="G18" s="68">
        <f t="shared" ref="G18:G26" si="0">E18-D18</f>
        <v>-3906.675602339179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36006.90368421052</v>
      </c>
      <c r="E19" s="67">
        <f>E17*I19</f>
        <v>34091.61791812865</v>
      </c>
      <c r="F19" s="67">
        <f>D19</f>
        <v>36006.90368421052</v>
      </c>
      <c r="G19" s="68">
        <f t="shared" si="0"/>
        <v>-1915.28576608187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32430.058947368416</v>
      </c>
      <c r="E20" s="67">
        <f>E17*I20</f>
        <v>30705.033356725144</v>
      </c>
      <c r="F20" s="67">
        <f>D20</f>
        <v>32430.058947368416</v>
      </c>
      <c r="G20" s="68">
        <f t="shared" si="0"/>
        <v>-1725.0255906432722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61998.642105263156</v>
      </c>
      <c r="E21" s="67">
        <f>E17*I21</f>
        <v>58700.799064327482</v>
      </c>
      <c r="F21" s="67">
        <f>D21</f>
        <v>61998.642105263156</v>
      </c>
      <c r="G21" s="68">
        <f t="shared" si="0"/>
        <v>-3297.8430409356733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109689.3</v>
      </c>
      <c r="E23" s="172">
        <v>104053.95</v>
      </c>
      <c r="F23" s="172">
        <f>D23</f>
        <v>109689.3</v>
      </c>
      <c r="G23" s="172">
        <f t="shared" si="0"/>
        <v>-5635.3500000000058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262" t="s">
        <v>462</v>
      </c>
      <c r="D25" s="172">
        <v>39346.14</v>
      </c>
      <c r="E25" s="172">
        <v>37316.33</v>
      </c>
      <c r="F25" s="172">
        <f>F40</f>
        <v>251282.16329999999</v>
      </c>
      <c r="G25" s="172">
        <f>E25-D25</f>
        <v>-2029.8099999999977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945976.73</v>
      </c>
      <c r="E27" s="166">
        <f>SUM(E28:E31)</f>
        <v>897236.29</v>
      </c>
      <c r="F27" s="166">
        <f>SUM(F28:F31)</f>
        <v>945976.73</v>
      </c>
      <c r="G27" s="166">
        <f>SUM(G28:G31)</f>
        <v>-48740.440000000017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3712.71</v>
      </c>
      <c r="E28" s="68">
        <v>3519.76</v>
      </c>
      <c r="F28" s="68">
        <f>D28</f>
        <v>3712.71</v>
      </c>
      <c r="G28" s="68">
        <f>E28-D28</f>
        <v>-192.94999999999982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223934.28</v>
      </c>
      <c r="E29" s="68">
        <v>212890.55</v>
      </c>
      <c r="F29" s="68">
        <f>D29</f>
        <v>223934.28</v>
      </c>
      <c r="G29" s="68">
        <f>E29-D29</f>
        <v>-11043.73000000001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718329.74</v>
      </c>
      <c r="E31" s="68">
        <v>680825.98</v>
      </c>
      <c r="F31" s="68">
        <f>D31</f>
        <v>718329.74</v>
      </c>
      <c r="G31" s="68">
        <f>E31-D31</f>
        <v>-37503.760000000009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102803.46000000008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52" t="s">
        <v>243</v>
      </c>
      <c r="B35" s="253"/>
      <c r="C35" s="253"/>
      <c r="D35" s="44"/>
      <c r="E35" s="45"/>
      <c r="F35" s="45"/>
      <c r="G35" s="38">
        <f>G14+E25-F25</f>
        <v>-208583.75329999998</v>
      </c>
      <c r="H35" s="40"/>
      <c r="I35" s="40"/>
    </row>
    <row r="36" spans="1:14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4" s="20" customFormat="1" ht="27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9" spans="1:14" ht="28.5" x14ac:dyDescent="0.2">
      <c r="A39" s="254" t="s">
        <v>11</v>
      </c>
      <c r="B39" s="306" t="s">
        <v>45</v>
      </c>
      <c r="C39" s="307"/>
      <c r="D39" s="254" t="s">
        <v>254</v>
      </c>
      <c r="E39" s="254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SUM(F41:G44)</f>
        <v>251282.16329999999</v>
      </c>
      <c r="G40" s="312"/>
      <c r="H40" s="59"/>
      <c r="I40" s="60"/>
      <c r="J40" s="12"/>
      <c r="K40" s="12"/>
      <c r="N40" s="54"/>
    </row>
    <row r="41" spans="1:14" s="12" customFormat="1" ht="15" x14ac:dyDescent="0.25">
      <c r="A41" s="9" t="s">
        <v>16</v>
      </c>
      <c r="B41" s="298" t="s">
        <v>414</v>
      </c>
      <c r="C41" s="299"/>
      <c r="D41" s="177" t="s">
        <v>262</v>
      </c>
      <c r="E41" s="177"/>
      <c r="F41" s="329">
        <v>220000</v>
      </c>
      <c r="G41" s="330"/>
      <c r="H41" s="61"/>
      <c r="I41" s="62"/>
      <c r="J41" s="23"/>
      <c r="K41" s="23"/>
      <c r="N41" s="55"/>
    </row>
    <row r="42" spans="1:14" ht="15" x14ac:dyDescent="0.25">
      <c r="A42" s="9" t="s">
        <v>18</v>
      </c>
      <c r="B42" s="298" t="s">
        <v>464</v>
      </c>
      <c r="C42" s="299"/>
      <c r="D42" s="177" t="s">
        <v>262</v>
      </c>
      <c r="E42" s="177">
        <v>3</v>
      </c>
      <c r="F42" s="329">
        <v>14590</v>
      </c>
      <c r="G42" s="330"/>
      <c r="H42" s="90"/>
      <c r="I42" s="90"/>
      <c r="N42" s="56"/>
    </row>
    <row r="43" spans="1:14" ht="15" x14ac:dyDescent="0.25">
      <c r="A43" s="9" t="s">
        <v>20</v>
      </c>
      <c r="B43" s="298" t="s">
        <v>464</v>
      </c>
      <c r="C43" s="299"/>
      <c r="D43" s="177" t="s">
        <v>262</v>
      </c>
      <c r="E43" s="177">
        <v>3</v>
      </c>
      <c r="F43" s="329">
        <v>16319</v>
      </c>
      <c r="G43" s="330"/>
      <c r="H43" s="90"/>
      <c r="I43" s="90"/>
    </row>
    <row r="44" spans="1:14" s="25" customFormat="1" ht="15" x14ac:dyDescent="0.25">
      <c r="A44" s="9" t="s">
        <v>22</v>
      </c>
      <c r="B44" s="327" t="s">
        <v>533</v>
      </c>
      <c r="C44" s="328"/>
      <c r="D44" s="246"/>
      <c r="E44" s="246"/>
      <c r="F44" s="317">
        <f>E25*1%</f>
        <v>373.16330000000005</v>
      </c>
      <c r="G44" s="317"/>
    </row>
    <row r="45" spans="1:14" s="3" customFormat="1" ht="1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4" s="25" customFormat="1" ht="15" x14ac:dyDescent="0.25">
      <c r="A46" s="3" t="s">
        <v>55</v>
      </c>
      <c r="B46" s="3"/>
      <c r="C46" s="101" t="s">
        <v>49</v>
      </c>
      <c r="D46" s="3"/>
      <c r="E46" s="3"/>
      <c r="F46" s="3" t="s">
        <v>102</v>
      </c>
      <c r="G46" s="3"/>
      <c r="H46" s="3"/>
      <c r="I46" s="3"/>
      <c r="J46" s="3"/>
      <c r="K46" s="3"/>
    </row>
    <row r="47" spans="1:14" s="25" customFormat="1" ht="15" x14ac:dyDescent="0.25">
      <c r="A47" s="3"/>
      <c r="B47" s="3"/>
      <c r="C47" s="101"/>
      <c r="D47" s="3"/>
      <c r="E47" s="3"/>
      <c r="F47" s="4" t="s">
        <v>265</v>
      </c>
      <c r="G47" s="3"/>
    </row>
    <row r="48" spans="1:14" s="25" customFormat="1" ht="15" x14ac:dyDescent="0.25">
      <c r="A48" s="3" t="s">
        <v>50</v>
      </c>
      <c r="B48" s="3"/>
      <c r="C48" s="101"/>
      <c r="D48" s="3"/>
      <c r="E48" s="3"/>
      <c r="F48" s="3"/>
      <c r="G48" s="3"/>
      <c r="H48" s="34"/>
      <c r="I48" s="34"/>
      <c r="J48" s="34"/>
    </row>
    <row r="49" spans="1:11" s="25" customFormat="1" ht="15" x14ac:dyDescent="0.25">
      <c r="A49" s="3"/>
      <c r="B49" s="3"/>
      <c r="C49" s="106" t="s">
        <v>51</v>
      </c>
      <c r="D49" s="3"/>
      <c r="E49" s="14"/>
      <c r="F49" s="14"/>
      <c r="G49" s="14"/>
    </row>
    <row r="50" spans="1:1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mergeCells count="22">
    <mergeCell ref="F42:G42"/>
    <mergeCell ref="A1:K1"/>
    <mergeCell ref="A2:K2"/>
    <mergeCell ref="A3:K3"/>
    <mergeCell ref="A5:K5"/>
    <mergeCell ref="A9:K9"/>
    <mergeCell ref="B43:C43"/>
    <mergeCell ref="F43:G43"/>
    <mergeCell ref="B44:C44"/>
    <mergeCell ref="F44:G44"/>
    <mergeCell ref="A10:K10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B42:C4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F47" sqref="F47"/>
    </sheetView>
  </sheetViews>
  <sheetFormatPr defaultRowHeight="12.75" outlineLevelCol="1" x14ac:dyDescent="0.2"/>
  <cols>
    <col min="1" max="1" width="5.5703125" style="23" customWidth="1"/>
    <col min="2" max="2" width="51.85546875" style="23" customWidth="1"/>
    <col min="3" max="3" width="15.7109375" style="23" customWidth="1"/>
    <col min="4" max="4" width="14.85546875" style="23" customWidth="1"/>
    <col min="5" max="5" width="12.5703125" style="23" customWidth="1"/>
    <col min="6" max="6" width="12.8554687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465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466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450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52" t="s">
        <v>451</v>
      </c>
      <c r="B14" s="253"/>
      <c r="C14" s="253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14.25" x14ac:dyDescent="0.2">
      <c r="A17" s="187" t="s">
        <v>14</v>
      </c>
      <c r="B17" s="137" t="s">
        <v>15</v>
      </c>
      <c r="C17" s="166">
        <f>C18+C19+C20+C21</f>
        <v>8.5500000000000007</v>
      </c>
      <c r="D17" s="165">
        <v>224123.19</v>
      </c>
      <c r="E17" s="165">
        <v>205109.15</v>
      </c>
      <c r="F17" s="165">
        <f>D17</f>
        <v>224123.19</v>
      </c>
      <c r="G17" s="166">
        <f>E17-D17</f>
        <v>-19014.040000000008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80736.774877192976</v>
      </c>
      <c r="E18" s="67">
        <f>E17*I18</f>
        <v>73887.272748538002</v>
      </c>
      <c r="F18" s="67">
        <f>D18</f>
        <v>80736.774877192976</v>
      </c>
      <c r="G18" s="68">
        <f t="shared" ref="G18:G26" si="0">E18-D18</f>
        <v>-6849.5021286549745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39581.99028070175</v>
      </c>
      <c r="E19" s="67">
        <f>E17*I19</f>
        <v>36223.955146198823</v>
      </c>
      <c r="F19" s="67">
        <f>D19</f>
        <v>39581.99028070175</v>
      </c>
      <c r="G19" s="68">
        <f t="shared" si="0"/>
        <v>-3358.0351345029267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35650.004491228065</v>
      </c>
      <c r="E20" s="67">
        <f>E17*I20</f>
        <v>32625.549005847948</v>
      </c>
      <c r="F20" s="67">
        <f>D20</f>
        <v>35650.004491228065</v>
      </c>
      <c r="G20" s="68">
        <f t="shared" si="0"/>
        <v>-3024.4554853801164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68154.42035087719</v>
      </c>
      <c r="E21" s="67">
        <f>E17*I21</f>
        <v>62372.373099415199</v>
      </c>
      <c r="F21" s="67">
        <f>D21</f>
        <v>68154.42035087719</v>
      </c>
      <c r="G21" s="68">
        <f t="shared" si="0"/>
        <v>-5782.0472514619905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120479.98</v>
      </c>
      <c r="E23" s="172">
        <v>110367.44</v>
      </c>
      <c r="F23" s="172">
        <f>D23</f>
        <v>120479.98</v>
      </c>
      <c r="G23" s="172">
        <f t="shared" si="0"/>
        <v>-10112.539999999994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262" t="s">
        <v>462</v>
      </c>
      <c r="D25" s="172">
        <v>43294.43</v>
      </c>
      <c r="E25" s="172">
        <v>39642.379999999997</v>
      </c>
      <c r="F25" s="172">
        <f>F40</f>
        <v>25610.5838</v>
      </c>
      <c r="G25" s="172">
        <f>E25-D25</f>
        <v>-3652.0500000000029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1104189.75</v>
      </c>
      <c r="E27" s="166">
        <f>SUM(E28:E31)</f>
        <v>999236.95</v>
      </c>
      <c r="F27" s="166">
        <f>SUM(F28:F31)</f>
        <v>1104189.75</v>
      </c>
      <c r="G27" s="166">
        <f>SUM(G28:G31)</f>
        <v>-104952.79999999997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2024.69</v>
      </c>
      <c r="E28" s="68">
        <v>1854.55</v>
      </c>
      <c r="F28" s="68">
        <f>D28</f>
        <v>2024.69</v>
      </c>
      <c r="G28" s="68">
        <f>E28-D28</f>
        <v>-170.1400000000001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361403.94</v>
      </c>
      <c r="E29" s="68">
        <v>330278.02</v>
      </c>
      <c r="F29" s="68">
        <f>D29</f>
        <v>361403.94</v>
      </c>
      <c r="G29" s="68">
        <f>E29-D29</f>
        <v>-31125.919999999984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740761.12</v>
      </c>
      <c r="E31" s="68">
        <v>667104.38</v>
      </c>
      <c r="F31" s="68">
        <f>D31</f>
        <v>740761.12</v>
      </c>
      <c r="G31" s="68">
        <f>E31-D31</f>
        <v>-73656.739999999991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D12+D17+D23+D24+D25+D26+D27-E17-E23-E24-E25-E26-E27</f>
        <v>137731.4300000004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52" t="s">
        <v>243</v>
      </c>
      <c r="B35" s="253"/>
      <c r="C35" s="253"/>
      <c r="D35" s="44"/>
      <c r="E35" s="45"/>
      <c r="F35" s="45"/>
      <c r="G35" s="38">
        <f>G14+E25-F25</f>
        <v>14031.796199999997</v>
      </c>
      <c r="H35" s="40"/>
      <c r="I35" s="40"/>
    </row>
    <row r="36" spans="1:14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4" s="20" customFormat="1" ht="27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9" spans="1:14" ht="28.5" x14ac:dyDescent="0.2">
      <c r="A39" s="254" t="s">
        <v>11</v>
      </c>
      <c r="B39" s="306" t="s">
        <v>45</v>
      </c>
      <c r="C39" s="307"/>
      <c r="D39" s="254" t="s">
        <v>254</v>
      </c>
      <c r="E39" s="254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SUM(F41:G46)</f>
        <v>25610.5838</v>
      </c>
      <c r="G40" s="312"/>
      <c r="H40" s="59"/>
      <c r="I40" s="60"/>
      <c r="J40" s="12"/>
      <c r="K40" s="12"/>
      <c r="N40" s="54"/>
    </row>
    <row r="41" spans="1:14" s="12" customFormat="1" ht="15" x14ac:dyDescent="0.25">
      <c r="A41" s="9" t="s">
        <v>16</v>
      </c>
      <c r="B41" s="298" t="s">
        <v>467</v>
      </c>
      <c r="C41" s="299"/>
      <c r="D41" s="177" t="s">
        <v>262</v>
      </c>
      <c r="E41" s="177"/>
      <c r="F41" s="329">
        <v>3133</v>
      </c>
      <c r="G41" s="330"/>
      <c r="H41" s="61"/>
      <c r="I41" s="62"/>
      <c r="J41" s="23"/>
      <c r="K41" s="23"/>
      <c r="N41" s="55"/>
    </row>
    <row r="42" spans="1:14" ht="15" x14ac:dyDescent="0.25">
      <c r="A42" s="9" t="s">
        <v>18</v>
      </c>
      <c r="B42" s="298" t="s">
        <v>468</v>
      </c>
      <c r="C42" s="299"/>
      <c r="D42" s="177" t="s">
        <v>255</v>
      </c>
      <c r="E42" s="177">
        <v>1</v>
      </c>
      <c r="F42" s="329">
        <v>1751.16</v>
      </c>
      <c r="G42" s="330"/>
      <c r="H42" s="90"/>
      <c r="I42" s="90"/>
      <c r="N42" s="56"/>
    </row>
    <row r="43" spans="1:14" ht="15" x14ac:dyDescent="0.25">
      <c r="A43" s="9" t="s">
        <v>20</v>
      </c>
      <c r="B43" s="298" t="s">
        <v>469</v>
      </c>
      <c r="C43" s="299"/>
      <c r="D43" s="177" t="s">
        <v>262</v>
      </c>
      <c r="E43" s="177">
        <v>2</v>
      </c>
      <c r="F43" s="329">
        <v>12420</v>
      </c>
      <c r="G43" s="330"/>
      <c r="H43" s="90"/>
      <c r="I43" s="90"/>
    </row>
    <row r="44" spans="1:14" s="25" customFormat="1" ht="15" x14ac:dyDescent="0.25">
      <c r="A44" s="9" t="s">
        <v>22</v>
      </c>
      <c r="B44" s="298" t="s">
        <v>470</v>
      </c>
      <c r="C44" s="299"/>
      <c r="D44" s="177" t="s">
        <v>262</v>
      </c>
      <c r="E44" s="177">
        <v>1</v>
      </c>
      <c r="F44" s="329">
        <v>451</v>
      </c>
      <c r="G44" s="330"/>
      <c r="H44" s="90"/>
      <c r="I44" s="90"/>
      <c r="J44" s="23"/>
      <c r="K44" s="23"/>
    </row>
    <row r="45" spans="1:14" s="25" customFormat="1" ht="15" x14ac:dyDescent="0.25">
      <c r="A45" s="9" t="s">
        <v>24</v>
      </c>
      <c r="B45" s="298" t="s">
        <v>471</v>
      </c>
      <c r="C45" s="299"/>
      <c r="D45" s="177" t="s">
        <v>262</v>
      </c>
      <c r="E45" s="177">
        <v>1</v>
      </c>
      <c r="F45" s="329">
        <v>7459</v>
      </c>
      <c r="G45" s="330"/>
      <c r="H45" s="90"/>
      <c r="I45" s="90"/>
      <c r="J45" s="23"/>
      <c r="K45" s="23"/>
    </row>
    <row r="46" spans="1:14" s="25" customFormat="1" ht="15" x14ac:dyDescent="0.25">
      <c r="A46" s="9" t="s">
        <v>117</v>
      </c>
      <c r="B46" s="327" t="s">
        <v>533</v>
      </c>
      <c r="C46" s="328"/>
      <c r="D46" s="246"/>
      <c r="E46" s="246"/>
      <c r="F46" s="317">
        <f>E25*1%</f>
        <v>396.42379999999997</v>
      </c>
      <c r="G46" s="317"/>
    </row>
    <row r="47" spans="1:14" s="3" customFormat="1" ht="1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4" s="25" customFormat="1" ht="15" x14ac:dyDescent="0.25">
      <c r="A48" s="3" t="s">
        <v>55</v>
      </c>
      <c r="B48" s="3"/>
      <c r="C48" s="101" t="s">
        <v>49</v>
      </c>
      <c r="D48" s="3"/>
      <c r="E48" s="3"/>
      <c r="F48" s="3" t="s">
        <v>102</v>
      </c>
      <c r="G48" s="3"/>
      <c r="H48" s="3"/>
      <c r="I48" s="3"/>
      <c r="J48" s="3"/>
      <c r="K48" s="3"/>
    </row>
    <row r="49" spans="1:11" s="25" customFormat="1" ht="15" x14ac:dyDescent="0.25">
      <c r="A49" s="3"/>
      <c r="B49" s="3"/>
      <c r="C49" s="101"/>
      <c r="D49" s="3"/>
      <c r="E49" s="3"/>
      <c r="F49" s="4" t="s">
        <v>265</v>
      </c>
      <c r="G49" s="3"/>
    </row>
    <row r="50" spans="1:11" s="25" customFormat="1" ht="15" x14ac:dyDescent="0.25">
      <c r="A50" s="3" t="s">
        <v>50</v>
      </c>
      <c r="B50" s="3"/>
      <c r="C50" s="101"/>
      <c r="D50" s="3"/>
      <c r="E50" s="3"/>
      <c r="F50" s="3"/>
      <c r="G50" s="3"/>
      <c r="H50" s="34"/>
      <c r="I50" s="34"/>
      <c r="J50" s="34"/>
    </row>
    <row r="51" spans="1:11" s="25" customFormat="1" ht="15" x14ac:dyDescent="0.25">
      <c r="A51" s="3"/>
      <c r="B51" s="3"/>
      <c r="C51" s="106" t="s">
        <v>51</v>
      </c>
      <c r="D51" s="3"/>
      <c r="E51" s="14"/>
      <c r="F51" s="14"/>
      <c r="G51" s="14"/>
    </row>
    <row r="52" spans="1:1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</sheetData>
  <mergeCells count="26">
    <mergeCell ref="A10:K10"/>
    <mergeCell ref="A1:K1"/>
    <mergeCell ref="A2:K2"/>
    <mergeCell ref="A3:K3"/>
    <mergeCell ref="A5:K5"/>
    <mergeCell ref="A9:K9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6:C46"/>
    <mergeCell ref="F46:G46"/>
    <mergeCell ref="B45:C45"/>
    <mergeCell ref="F45:G4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F48" sqref="F48"/>
    </sheetView>
  </sheetViews>
  <sheetFormatPr defaultRowHeight="12.75" outlineLevelCol="1" x14ac:dyDescent="0.2"/>
  <cols>
    <col min="1" max="1" width="6" style="23" customWidth="1"/>
    <col min="2" max="2" width="48.140625" style="23" customWidth="1"/>
    <col min="3" max="3" width="14" style="23" customWidth="1"/>
    <col min="4" max="4" width="14.85546875" style="23" customWidth="1"/>
    <col min="5" max="6" width="13.285156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customWidth="1" collapsed="1"/>
    <col min="12" max="12" width="9.140625" style="23"/>
    <col min="13" max="13" width="10" style="23" bestFit="1" customWidth="1"/>
    <col min="14" max="14" width="15.85546875" style="23" customWidth="1"/>
    <col min="15" max="16384" width="9.140625" style="23"/>
  </cols>
  <sheetData>
    <row r="1" spans="1:11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1" s="25" customFormat="1" ht="16.5" customHeight="1" x14ac:dyDescent="0.2">
      <c r="A7" s="25" t="s">
        <v>2</v>
      </c>
      <c r="F7" s="26" t="s">
        <v>226</v>
      </c>
      <c r="H7" s="26"/>
    </row>
    <row r="8" spans="1:11" s="25" customFormat="1" x14ac:dyDescent="0.2">
      <c r="A8" s="25" t="s">
        <v>3</v>
      </c>
      <c r="F8" s="26" t="s">
        <v>227</v>
      </c>
      <c r="H8" s="26"/>
    </row>
    <row r="9" spans="1:11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s="15" customFormat="1" ht="16.5" customHeight="1" thickBot="1" x14ac:dyDescent="0.3">
      <c r="A12" s="287" t="s">
        <v>240</v>
      </c>
      <c r="B12" s="288"/>
      <c r="C12" s="288"/>
      <c r="D12" s="73">
        <v>163653.43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87" t="s">
        <v>215</v>
      </c>
      <c r="B14" s="43"/>
      <c r="C14" s="43"/>
      <c r="D14" s="44"/>
      <c r="E14" s="45"/>
      <c r="F14" s="45"/>
      <c r="G14" s="73">
        <v>-47885.11</v>
      </c>
      <c r="H14" s="40"/>
      <c r="I14" s="40"/>
    </row>
    <row r="15" spans="1:11" s="25" customFormat="1" ht="6.75" customHeight="1" x14ac:dyDescent="0.2"/>
    <row r="16" spans="1:11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4" s="25" customFormat="1" ht="14.25" x14ac:dyDescent="0.2">
      <c r="A17" s="187" t="s">
        <v>14</v>
      </c>
      <c r="B17" s="137" t="s">
        <v>15</v>
      </c>
      <c r="C17" s="201">
        <f>C18+C19+C20+C21</f>
        <v>8.9599999999999991</v>
      </c>
      <c r="D17" s="165">
        <v>573343.64</v>
      </c>
      <c r="E17" s="165">
        <v>326028.5</v>
      </c>
      <c r="F17" s="165">
        <f>D17</f>
        <v>573343.64</v>
      </c>
      <c r="G17" s="166">
        <f>E17-D17</f>
        <v>-247315.14</v>
      </c>
      <c r="H17" s="70">
        <f>C17</f>
        <v>8.9599999999999991</v>
      </c>
      <c r="I17" s="168"/>
      <c r="J17" s="168"/>
      <c r="K17" s="168"/>
      <c r="M17" s="70"/>
      <c r="N17" s="63"/>
    </row>
    <row r="18" spans="1:14" s="25" customFormat="1" ht="15" x14ac:dyDescent="0.25">
      <c r="A18" s="8" t="s">
        <v>16</v>
      </c>
      <c r="B18" s="9" t="s">
        <v>17</v>
      </c>
      <c r="C18" s="92">
        <v>3.08</v>
      </c>
      <c r="D18" s="67">
        <f>D17*I18</f>
        <v>197086.87625000003</v>
      </c>
      <c r="E18" s="67">
        <f>E17*I18</f>
        <v>112072.29687500001</v>
      </c>
      <c r="F18" s="67">
        <f>D18</f>
        <v>197086.87625000003</v>
      </c>
      <c r="G18" s="68">
        <f t="shared" ref="G18:G26" si="0">E18-D18</f>
        <v>-85014.579375000016</v>
      </c>
      <c r="H18" s="70">
        <f t="shared" ref="H18:H21" si="1">C18</f>
        <v>3.08</v>
      </c>
      <c r="I18" s="32">
        <f>H18/H17</f>
        <v>0.34375000000000006</v>
      </c>
    </row>
    <row r="19" spans="1:14" s="25" customFormat="1" ht="15" x14ac:dyDescent="0.25">
      <c r="A19" s="8" t="s">
        <v>18</v>
      </c>
      <c r="B19" s="9" t="s">
        <v>19</v>
      </c>
      <c r="C19" s="92">
        <v>1.47</v>
      </c>
      <c r="D19" s="67">
        <f>D17*I19</f>
        <v>94064.190937500025</v>
      </c>
      <c r="E19" s="67">
        <f>E17*I19</f>
        <v>53489.050781250007</v>
      </c>
      <c r="F19" s="67">
        <f>D19</f>
        <v>94064.190937500025</v>
      </c>
      <c r="G19" s="68">
        <f t="shared" si="0"/>
        <v>-40575.140156250018</v>
      </c>
      <c r="H19" s="70">
        <f t="shared" si="1"/>
        <v>1.47</v>
      </c>
      <c r="I19" s="32">
        <f>H19/H17</f>
        <v>0.16406250000000003</v>
      </c>
    </row>
    <row r="20" spans="1:14" s="25" customFormat="1" ht="15" x14ac:dyDescent="0.25">
      <c r="A20" s="8" t="s">
        <v>20</v>
      </c>
      <c r="B20" s="9" t="s">
        <v>21</v>
      </c>
      <c r="C20" s="92">
        <v>1.81</v>
      </c>
      <c r="D20" s="67">
        <f>D17*I20</f>
        <v>115820.53441964288</v>
      </c>
      <c r="E20" s="67">
        <f>E17*I20</f>
        <v>65860.667968750015</v>
      </c>
      <c r="F20" s="67">
        <f>D20</f>
        <v>115820.53441964288</v>
      </c>
      <c r="G20" s="68">
        <f t="shared" si="0"/>
        <v>-49959.866450892863</v>
      </c>
      <c r="H20" s="70">
        <f t="shared" si="1"/>
        <v>1.81</v>
      </c>
      <c r="I20" s="32">
        <f>H20/H17</f>
        <v>0.2020089285714286</v>
      </c>
    </row>
    <row r="21" spans="1:14" s="25" customFormat="1" ht="15" x14ac:dyDescent="0.25">
      <c r="A21" s="8" t="s">
        <v>22</v>
      </c>
      <c r="B21" s="9" t="s">
        <v>23</v>
      </c>
      <c r="C21" s="92">
        <v>2.6</v>
      </c>
      <c r="D21" s="67">
        <f>D17*I21</f>
        <v>166372.03839285715</v>
      </c>
      <c r="E21" s="67">
        <f>E17*I21</f>
        <v>94606.484375000015</v>
      </c>
      <c r="F21" s="67">
        <f>D21</f>
        <v>166372.03839285715</v>
      </c>
      <c r="G21" s="68">
        <f t="shared" si="0"/>
        <v>-71765.554017857139</v>
      </c>
      <c r="H21" s="70">
        <f t="shared" si="1"/>
        <v>2.6</v>
      </c>
      <c r="I21" s="32">
        <f>H21/H17</f>
        <v>0.29017857142857145</v>
      </c>
    </row>
    <row r="22" spans="1:14" s="72" customFormat="1" ht="14.25" x14ac:dyDescent="0.2">
      <c r="A22" s="227" t="s">
        <v>25</v>
      </c>
      <c r="B22" s="227" t="s">
        <v>26</v>
      </c>
      <c r="C22" s="20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4" s="72" customFormat="1" ht="14.25" x14ac:dyDescent="0.2">
      <c r="A23" s="227" t="s">
        <v>27</v>
      </c>
      <c r="B23" s="227" t="s">
        <v>28</v>
      </c>
      <c r="C23" s="202">
        <v>4.5999999999999996</v>
      </c>
      <c r="D23" s="172">
        <v>294456.39</v>
      </c>
      <c r="E23" s="172">
        <v>266565.06</v>
      </c>
      <c r="F23" s="172">
        <f>D23</f>
        <v>294456.39</v>
      </c>
      <c r="G23" s="172">
        <f t="shared" si="0"/>
        <v>-27891.330000000016</v>
      </c>
      <c r="H23" s="173"/>
      <c r="I23" s="173"/>
      <c r="J23" s="173"/>
      <c r="K23" s="173"/>
    </row>
    <row r="24" spans="1:14" s="72" customFormat="1" ht="14.25" x14ac:dyDescent="0.2">
      <c r="A24" s="227" t="s">
        <v>29</v>
      </c>
      <c r="B24" s="227" t="s">
        <v>30</v>
      </c>
      <c r="C24" s="20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4" s="72" customFormat="1" ht="14.25" x14ac:dyDescent="0.2">
      <c r="A25" s="227" t="s">
        <v>31</v>
      </c>
      <c r="B25" s="227" t="s">
        <v>132</v>
      </c>
      <c r="C25" s="263">
        <v>1.82</v>
      </c>
      <c r="D25" s="172">
        <v>116420.72</v>
      </c>
      <c r="E25" s="172">
        <v>105467.04</v>
      </c>
      <c r="F25" s="172">
        <f>F40</f>
        <v>18424.010399999999</v>
      </c>
      <c r="G25" s="172">
        <f>E25-D25</f>
        <v>-10953.680000000008</v>
      </c>
      <c r="H25" s="173"/>
      <c r="I25" s="173"/>
      <c r="J25" s="173"/>
      <c r="K25" s="173"/>
    </row>
    <row r="26" spans="1:14" ht="14.25" x14ac:dyDescent="0.2">
      <c r="A26" s="137" t="s">
        <v>33</v>
      </c>
      <c r="B26" s="137" t="s">
        <v>248</v>
      </c>
      <c r="C26" s="201">
        <v>0</v>
      </c>
      <c r="D26" s="166">
        <v>0</v>
      </c>
      <c r="E26" s="166">
        <v>0</v>
      </c>
      <c r="F26" s="172">
        <v>0</v>
      </c>
      <c r="G26" s="166">
        <f t="shared" si="0"/>
        <v>0</v>
      </c>
      <c r="H26" s="37"/>
      <c r="I26" s="37"/>
      <c r="J26" s="37"/>
      <c r="K26" s="37"/>
    </row>
    <row r="27" spans="1:14" ht="14.25" x14ac:dyDescent="0.2">
      <c r="A27" s="137" t="s">
        <v>35</v>
      </c>
      <c r="B27" s="137" t="s">
        <v>36</v>
      </c>
      <c r="C27" s="201">
        <v>0</v>
      </c>
      <c r="D27" s="166">
        <f>SUM(D28:D31)</f>
        <v>3074355.6399999997</v>
      </c>
      <c r="E27" s="166">
        <f>SUM(E28:E31)</f>
        <v>2958488.6</v>
      </c>
      <c r="F27" s="166">
        <f>SUM(F28:F31)</f>
        <v>3074355.6399999997</v>
      </c>
      <c r="G27" s="166">
        <f>SUM(G28:G31)</f>
        <v>-115867.04000000002</v>
      </c>
      <c r="H27" s="37"/>
      <c r="I27" s="37"/>
      <c r="J27" s="37"/>
      <c r="K27" s="37"/>
    </row>
    <row r="28" spans="1:14" ht="15" x14ac:dyDescent="0.25">
      <c r="A28" s="9" t="s">
        <v>37</v>
      </c>
      <c r="B28" s="9" t="s">
        <v>263</v>
      </c>
      <c r="C28" s="250" t="s">
        <v>245</v>
      </c>
      <c r="D28" s="68">
        <v>9198.41</v>
      </c>
      <c r="E28" s="68">
        <v>8593.77</v>
      </c>
      <c r="F28" s="68">
        <f>D28</f>
        <v>9198.41</v>
      </c>
      <c r="G28" s="68">
        <f>E28-D28</f>
        <v>-604.63999999999942</v>
      </c>
    </row>
    <row r="29" spans="1:14" ht="15" x14ac:dyDescent="0.25">
      <c r="A29" s="9" t="s">
        <v>39</v>
      </c>
      <c r="B29" s="9" t="s">
        <v>171</v>
      </c>
      <c r="C29" s="250" t="s">
        <v>246</v>
      </c>
      <c r="D29" s="68">
        <v>450835.53</v>
      </c>
      <c r="E29" s="68">
        <v>409507.12</v>
      </c>
      <c r="F29" s="68">
        <f>D29</f>
        <v>450835.53</v>
      </c>
      <c r="G29" s="68">
        <f>E29-D29</f>
        <v>-41328.410000000033</v>
      </c>
    </row>
    <row r="30" spans="1:14" ht="15" x14ac:dyDescent="0.25">
      <c r="A30" s="9" t="s">
        <v>42</v>
      </c>
      <c r="B30" s="9" t="s">
        <v>173</v>
      </c>
      <c r="C30" s="235" t="s">
        <v>472</v>
      </c>
      <c r="D30" s="68">
        <v>686030</v>
      </c>
      <c r="E30" s="68">
        <v>611268.03</v>
      </c>
      <c r="F30" s="68">
        <f>D30</f>
        <v>686030</v>
      </c>
      <c r="G30" s="68">
        <f>E30-D30</f>
        <v>-74761.969999999972</v>
      </c>
    </row>
    <row r="31" spans="1:14" ht="15" x14ac:dyDescent="0.25">
      <c r="A31" s="9" t="s">
        <v>41</v>
      </c>
      <c r="B31" s="9" t="s">
        <v>43</v>
      </c>
      <c r="C31" s="250" t="s">
        <v>247</v>
      </c>
      <c r="D31" s="68">
        <v>1928291.7</v>
      </c>
      <c r="E31" s="68">
        <v>1929119.68</v>
      </c>
      <c r="F31" s="68">
        <f>D31</f>
        <v>1928291.7</v>
      </c>
      <c r="G31" s="68">
        <f>E31-D31</f>
        <v>827.97999999998137</v>
      </c>
    </row>
    <row r="32" spans="1:14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2" s="15" customFormat="1" ht="15.75" thickBot="1" x14ac:dyDescent="0.3">
      <c r="A33" s="287" t="s">
        <v>241</v>
      </c>
      <c r="B33" s="288"/>
      <c r="C33" s="288"/>
      <c r="D33" s="73">
        <f>D12+D17+D22+D23+D24+D25+D26+D27-E17-E22-E23-E24-E25-E26-E27</f>
        <v>565680.62000000011</v>
      </c>
      <c r="E33" s="39"/>
      <c r="F33" s="39"/>
      <c r="G33" s="39"/>
      <c r="H33" s="40"/>
      <c r="I33" s="40"/>
    </row>
    <row r="34" spans="1:12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2" s="15" customFormat="1" ht="15.75" thickBot="1" x14ac:dyDescent="0.3">
      <c r="A35" s="257" t="s">
        <v>243</v>
      </c>
      <c r="B35" s="258"/>
      <c r="C35" s="258"/>
      <c r="D35" s="44"/>
      <c r="E35" s="45"/>
      <c r="F35" s="45"/>
      <c r="G35" s="38">
        <f>G14+E25-F25</f>
        <v>39157.919599999994</v>
      </c>
      <c r="H35" s="40"/>
      <c r="I35" s="40"/>
    </row>
    <row r="36" spans="1:12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2" ht="31.5" customHeight="1" x14ac:dyDescent="0.2">
      <c r="A37" s="289" t="s">
        <v>479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9" spans="1:12" s="18" customFormat="1" ht="37.5" customHeight="1" x14ac:dyDescent="0.2">
      <c r="A39" s="259" t="s">
        <v>11</v>
      </c>
      <c r="B39" s="306" t="s">
        <v>45</v>
      </c>
      <c r="C39" s="307"/>
      <c r="D39" s="259" t="s">
        <v>254</v>
      </c>
      <c r="E39" s="259" t="s">
        <v>253</v>
      </c>
      <c r="F39" s="306" t="s">
        <v>46</v>
      </c>
      <c r="G39" s="307"/>
      <c r="H39" s="57"/>
      <c r="I39" s="58"/>
      <c r="L39" s="54"/>
    </row>
    <row r="40" spans="1:12" s="12" customFormat="1" ht="15" customHeight="1" x14ac:dyDescent="0.25">
      <c r="A40" s="11" t="s">
        <v>47</v>
      </c>
      <c r="B40" s="308" t="s">
        <v>127</v>
      </c>
      <c r="C40" s="309"/>
      <c r="D40" s="176"/>
      <c r="E40" s="176"/>
      <c r="F40" s="316">
        <f>SUM(F41:G47)</f>
        <v>18424.010399999999</v>
      </c>
      <c r="G40" s="312"/>
      <c r="H40" s="59"/>
      <c r="I40" s="60"/>
      <c r="L40" s="55"/>
    </row>
    <row r="41" spans="1:12" ht="15" x14ac:dyDescent="0.25">
      <c r="A41" s="9" t="s">
        <v>16</v>
      </c>
      <c r="B41" s="298" t="s">
        <v>473</v>
      </c>
      <c r="C41" s="299"/>
      <c r="D41" s="177" t="s">
        <v>255</v>
      </c>
      <c r="E41" s="177">
        <v>1</v>
      </c>
      <c r="F41" s="329">
        <v>2827.89</v>
      </c>
      <c r="G41" s="330"/>
      <c r="H41" s="61"/>
      <c r="I41" s="62"/>
      <c r="L41" s="56"/>
    </row>
    <row r="42" spans="1:12" ht="15" x14ac:dyDescent="0.25">
      <c r="A42" s="9" t="s">
        <v>18</v>
      </c>
      <c r="B42" s="298" t="s">
        <v>474</v>
      </c>
      <c r="C42" s="299"/>
      <c r="D42" s="177" t="s">
        <v>255</v>
      </c>
      <c r="E42" s="177">
        <v>2</v>
      </c>
      <c r="F42" s="329">
        <v>3000.45</v>
      </c>
      <c r="G42" s="330"/>
      <c r="H42" s="90"/>
      <c r="I42" s="90"/>
      <c r="L42" s="56"/>
    </row>
    <row r="43" spans="1:12" ht="15" x14ac:dyDescent="0.25">
      <c r="A43" s="9" t="s">
        <v>20</v>
      </c>
      <c r="B43" s="298" t="s">
        <v>475</v>
      </c>
      <c r="C43" s="299"/>
      <c r="D43" s="177" t="s">
        <v>255</v>
      </c>
      <c r="E43" s="177">
        <v>1</v>
      </c>
      <c r="F43" s="329">
        <v>2820</v>
      </c>
      <c r="G43" s="330"/>
      <c r="H43" s="90"/>
      <c r="I43" s="90"/>
    </row>
    <row r="44" spans="1:12" s="25" customFormat="1" ht="15" x14ac:dyDescent="0.25">
      <c r="A44" s="9" t="s">
        <v>22</v>
      </c>
      <c r="B44" s="298" t="s">
        <v>476</v>
      </c>
      <c r="C44" s="299"/>
      <c r="D44" s="177" t="s">
        <v>255</v>
      </c>
      <c r="E44" s="177">
        <v>2</v>
      </c>
      <c r="F44" s="329">
        <v>4049</v>
      </c>
      <c r="G44" s="330"/>
      <c r="H44" s="90"/>
      <c r="I44" s="90"/>
      <c r="J44" s="23"/>
      <c r="K44" s="23"/>
    </row>
    <row r="45" spans="1:12" s="25" customFormat="1" ht="15" x14ac:dyDescent="0.25">
      <c r="A45" s="9" t="s">
        <v>24</v>
      </c>
      <c r="B45" s="298" t="s">
        <v>471</v>
      </c>
      <c r="C45" s="299"/>
      <c r="D45" s="177" t="s">
        <v>255</v>
      </c>
      <c r="E45" s="177">
        <v>4</v>
      </c>
      <c r="F45" s="329">
        <v>3410</v>
      </c>
      <c r="G45" s="330"/>
      <c r="H45" s="90"/>
      <c r="I45" s="90"/>
      <c r="J45" s="23"/>
      <c r="K45" s="23"/>
    </row>
    <row r="46" spans="1:12" s="25" customFormat="1" ht="15" x14ac:dyDescent="0.25">
      <c r="A46" s="9" t="s">
        <v>117</v>
      </c>
      <c r="B46" s="298" t="s">
        <v>477</v>
      </c>
      <c r="C46" s="299"/>
      <c r="D46" s="177" t="s">
        <v>262</v>
      </c>
      <c r="E46" s="177">
        <v>1</v>
      </c>
      <c r="F46" s="329">
        <v>1262</v>
      </c>
      <c r="G46" s="330"/>
      <c r="H46" s="90"/>
      <c r="I46" s="90"/>
      <c r="J46" s="23"/>
      <c r="K46" s="23"/>
    </row>
    <row r="47" spans="1:12" s="3" customFormat="1" ht="15" x14ac:dyDescent="0.25">
      <c r="A47" s="9" t="s">
        <v>118</v>
      </c>
      <c r="B47" s="327" t="s">
        <v>533</v>
      </c>
      <c r="C47" s="328"/>
      <c r="D47" s="246"/>
      <c r="E47" s="246"/>
      <c r="F47" s="317">
        <f>E25*1%</f>
        <v>1054.6704</v>
      </c>
      <c r="G47" s="317"/>
      <c r="H47" s="25"/>
      <c r="I47" s="25"/>
      <c r="J47" s="25"/>
      <c r="K47" s="25"/>
    </row>
    <row r="48" spans="1:12" s="25" customFormat="1" ht="9" customHeight="1" x14ac:dyDescent="0.2"/>
    <row r="49" spans="1:11" s="25" customFormat="1" ht="15" x14ac:dyDescent="0.25">
      <c r="A49" s="3" t="s">
        <v>55</v>
      </c>
      <c r="B49" s="3"/>
      <c r="C49" s="101" t="s">
        <v>49</v>
      </c>
      <c r="D49" s="3"/>
      <c r="E49" s="3"/>
      <c r="F49" s="3" t="s">
        <v>102</v>
      </c>
      <c r="G49" s="3"/>
      <c r="H49" s="3"/>
      <c r="I49" s="3"/>
      <c r="J49" s="3"/>
      <c r="K49" s="3"/>
    </row>
    <row r="50" spans="1:11" s="25" customFormat="1" ht="15" x14ac:dyDescent="0.25">
      <c r="A50" s="3"/>
      <c r="B50" s="3"/>
      <c r="C50" s="101"/>
      <c r="D50" s="3"/>
      <c r="E50" s="3"/>
      <c r="F50" s="4" t="s">
        <v>265</v>
      </c>
      <c r="G50" s="3"/>
    </row>
    <row r="51" spans="1:11" s="25" customFormat="1" ht="15" x14ac:dyDescent="0.25">
      <c r="A51" s="3" t="s">
        <v>50</v>
      </c>
      <c r="B51" s="3"/>
      <c r="C51" s="101"/>
      <c r="D51" s="3"/>
      <c r="E51" s="3"/>
      <c r="F51" s="3"/>
      <c r="G51" s="3"/>
      <c r="H51" s="34"/>
      <c r="I51" s="34"/>
      <c r="J51" s="34"/>
    </row>
    <row r="52" spans="1:11" ht="15" x14ac:dyDescent="0.25">
      <c r="A52" s="3"/>
      <c r="B52" s="3"/>
      <c r="C52" s="106" t="s">
        <v>51</v>
      </c>
      <c r="D52" s="3"/>
      <c r="E52" s="14"/>
      <c r="F52" s="14"/>
      <c r="G52" s="14"/>
      <c r="H52" s="25"/>
      <c r="I52" s="25"/>
      <c r="J52" s="25"/>
      <c r="K52" s="25"/>
    </row>
    <row r="53" spans="1:1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</sheetData>
  <mergeCells count="28">
    <mergeCell ref="B47:C47"/>
    <mergeCell ref="F47:G47"/>
    <mergeCell ref="B46:C46"/>
    <mergeCell ref="F46:G46"/>
    <mergeCell ref="B43:C43"/>
    <mergeCell ref="F43:G43"/>
    <mergeCell ref="B44:C44"/>
    <mergeCell ref="F44:G44"/>
    <mergeCell ref="B45:C45"/>
    <mergeCell ref="F45:G45"/>
    <mergeCell ref="A11:K11"/>
    <mergeCell ref="A12:C12"/>
    <mergeCell ref="A33:C33"/>
    <mergeCell ref="A37:K37"/>
    <mergeCell ref="B39:C39"/>
    <mergeCell ref="F39:G39"/>
    <mergeCell ref="B40:C40"/>
    <mergeCell ref="F40:G40"/>
    <mergeCell ref="B41:C41"/>
    <mergeCell ref="F41:G41"/>
    <mergeCell ref="B42:C42"/>
    <mergeCell ref="F42:G42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G14" sqref="G14"/>
    </sheetView>
  </sheetViews>
  <sheetFormatPr defaultRowHeight="12.75" outlineLevelCol="1" x14ac:dyDescent="0.2"/>
  <cols>
    <col min="1" max="1" width="5.42578125" style="23" customWidth="1"/>
    <col min="2" max="2" width="48.85546875" style="23" customWidth="1"/>
    <col min="3" max="3" width="14.28515625" style="23" customWidth="1"/>
    <col min="4" max="4" width="14.85546875" style="23" customWidth="1"/>
    <col min="5" max="6" width="13.140625" style="23" customWidth="1"/>
    <col min="7" max="7" width="14.5703125" style="23" customWidth="1"/>
    <col min="8" max="9" width="11.5703125" style="23" hidden="1" customWidth="1" outlineLevel="1"/>
    <col min="10" max="10" width="9.140625" style="23" collapsed="1"/>
    <col min="11" max="16384" width="9.140625" style="23"/>
  </cols>
  <sheetData>
    <row r="1" spans="1:9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</row>
    <row r="3" spans="1:9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</row>
    <row r="4" spans="1:9" ht="9" customHeight="1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</row>
    <row r="7" spans="1:9" s="25" customFormat="1" ht="16.5" customHeight="1" x14ac:dyDescent="0.2">
      <c r="A7" s="25" t="s">
        <v>2</v>
      </c>
      <c r="F7" s="26" t="s">
        <v>228</v>
      </c>
      <c r="H7" s="26"/>
    </row>
    <row r="8" spans="1:9" s="25" customFormat="1" x14ac:dyDescent="0.2">
      <c r="A8" s="25" t="s">
        <v>3</v>
      </c>
      <c r="F8" s="26" t="s">
        <v>229</v>
      </c>
      <c r="H8" s="26"/>
    </row>
    <row r="9" spans="1:9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</row>
    <row r="10" spans="1:9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</row>
    <row r="11" spans="1:9" s="25" customFormat="1" ht="15.75" customHeight="1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</row>
    <row r="12" spans="1:9" s="15" customFormat="1" ht="16.5" customHeight="1" thickBot="1" x14ac:dyDescent="0.3">
      <c r="A12" s="287" t="s">
        <v>240</v>
      </c>
      <c r="B12" s="288"/>
      <c r="C12" s="288"/>
      <c r="D12" s="73">
        <v>26472.17</v>
      </c>
      <c r="E12" s="39"/>
      <c r="F12" s="39"/>
      <c r="G12" s="39"/>
      <c r="H12" s="40"/>
      <c r="I12" s="40"/>
    </row>
    <row r="13" spans="1:9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 x14ac:dyDescent="0.3">
      <c r="A14" s="87" t="s">
        <v>478</v>
      </c>
      <c r="B14" s="43"/>
      <c r="C14" s="43"/>
      <c r="D14" s="44"/>
      <c r="E14" s="45"/>
      <c r="F14" s="45"/>
      <c r="G14" s="73">
        <v>1888.91</v>
      </c>
      <c r="H14" s="40"/>
      <c r="I14" s="40"/>
    </row>
    <row r="15" spans="1:9" s="25" customFormat="1" ht="6.75" customHeight="1" x14ac:dyDescent="0.2"/>
    <row r="16" spans="1:9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1" s="25" customFormat="1" ht="14.25" x14ac:dyDescent="0.2">
      <c r="A17" s="187" t="s">
        <v>14</v>
      </c>
      <c r="B17" s="137" t="s">
        <v>15</v>
      </c>
      <c r="C17" s="241">
        <f>C18+C19+C20+C21+C22</f>
        <v>9.6300000000000008</v>
      </c>
      <c r="D17" s="165">
        <v>301196.95</v>
      </c>
      <c r="E17" s="165">
        <v>293255.19</v>
      </c>
      <c r="F17" s="165">
        <f t="shared" ref="F17:F24" si="0">D17</f>
        <v>301196.95</v>
      </c>
      <c r="G17" s="166">
        <f>E17-D17</f>
        <v>-7941.7600000000093</v>
      </c>
      <c r="H17" s="70">
        <f>C17</f>
        <v>9.6300000000000008</v>
      </c>
      <c r="I17" s="168"/>
      <c r="J17" s="168"/>
      <c r="K17" s="168"/>
    </row>
    <row r="18" spans="1:11" s="25" customFormat="1" ht="15" x14ac:dyDescent="0.25">
      <c r="A18" s="8" t="s">
        <v>16</v>
      </c>
      <c r="B18" s="9" t="s">
        <v>17</v>
      </c>
      <c r="C18" s="92">
        <v>2.62</v>
      </c>
      <c r="D18" s="67">
        <f>D17*I18</f>
        <v>81945.587642782964</v>
      </c>
      <c r="E18" s="67">
        <f>E17*I18</f>
        <v>79784.901121495321</v>
      </c>
      <c r="F18" s="67">
        <f t="shared" si="0"/>
        <v>81945.587642782964</v>
      </c>
      <c r="G18" s="68">
        <f t="shared" ref="G18:G27" si="1">E18-D18</f>
        <v>-2160.6865212876437</v>
      </c>
      <c r="H18" s="70">
        <f t="shared" ref="H18:H22" si="2">C18</f>
        <v>2.62</v>
      </c>
      <c r="I18" s="32">
        <f>H18/H17</f>
        <v>0.27206645898234683</v>
      </c>
    </row>
    <row r="19" spans="1:11" s="25" customFormat="1" ht="15" x14ac:dyDescent="0.25">
      <c r="A19" s="8" t="s">
        <v>18</v>
      </c>
      <c r="B19" s="9" t="s">
        <v>19</v>
      </c>
      <c r="C19" s="92">
        <f>0.77+0.05+0.07+0.12+0.32</f>
        <v>1.3300000000000003</v>
      </c>
      <c r="D19" s="67">
        <f>D17*I19</f>
        <v>41598.332658359301</v>
      </c>
      <c r="E19" s="67">
        <f>E17*I19</f>
        <v>40501.495607476638</v>
      </c>
      <c r="F19" s="67">
        <f t="shared" si="0"/>
        <v>41598.332658359301</v>
      </c>
      <c r="G19" s="68">
        <f t="shared" si="1"/>
        <v>-1096.8370508826629</v>
      </c>
      <c r="H19" s="70">
        <f t="shared" si="2"/>
        <v>1.3300000000000003</v>
      </c>
      <c r="I19" s="32">
        <f>H19/H17</f>
        <v>0.13811007268951195</v>
      </c>
    </row>
    <row r="20" spans="1:11" s="25" customFormat="1" ht="15" x14ac:dyDescent="0.25">
      <c r="A20" s="8" t="s">
        <v>20</v>
      </c>
      <c r="B20" s="9" t="s">
        <v>21</v>
      </c>
      <c r="C20" s="92">
        <v>0.78</v>
      </c>
      <c r="D20" s="67">
        <f>D17*I20</f>
        <v>24396.014641744547</v>
      </c>
      <c r="E20" s="67">
        <f>E17*I20</f>
        <v>23752.756822429907</v>
      </c>
      <c r="F20" s="67">
        <f t="shared" si="0"/>
        <v>24396.014641744547</v>
      </c>
      <c r="G20" s="68">
        <f t="shared" si="1"/>
        <v>-643.25781931464007</v>
      </c>
      <c r="H20" s="70">
        <f t="shared" si="2"/>
        <v>0.78</v>
      </c>
      <c r="I20" s="32">
        <f>H20/H17</f>
        <v>8.0996884735202487E-2</v>
      </c>
    </row>
    <row r="21" spans="1:11" s="25" customFormat="1" ht="14.25" customHeight="1" x14ac:dyDescent="0.25">
      <c r="A21" s="8" t="s">
        <v>22</v>
      </c>
      <c r="B21" s="9" t="s">
        <v>23</v>
      </c>
      <c r="C21" s="92">
        <v>2.39</v>
      </c>
      <c r="D21" s="67">
        <f>D17*I21</f>
        <v>74751.891017653164</v>
      </c>
      <c r="E21" s="67">
        <f>E17*I21</f>
        <v>72780.883084112138</v>
      </c>
      <c r="F21" s="67">
        <f t="shared" si="0"/>
        <v>74751.891017653164</v>
      </c>
      <c r="G21" s="68">
        <f t="shared" si="1"/>
        <v>-1971.0079335410264</v>
      </c>
      <c r="H21" s="70">
        <f t="shared" si="2"/>
        <v>2.39</v>
      </c>
      <c r="I21" s="32">
        <f>H21/H17</f>
        <v>0.24818276220145377</v>
      </c>
    </row>
    <row r="22" spans="1:11" s="25" customFormat="1" ht="14.25" customHeight="1" x14ac:dyDescent="0.25">
      <c r="A22" s="8" t="s">
        <v>24</v>
      </c>
      <c r="B22" s="9" t="s">
        <v>489</v>
      </c>
      <c r="C22" s="92">
        <v>2.5099999999999998</v>
      </c>
      <c r="D22" s="67">
        <f>D17*I22</f>
        <v>78505.124039460017</v>
      </c>
      <c r="E22" s="67">
        <f>E17*I22</f>
        <v>76435.153364485974</v>
      </c>
      <c r="F22" s="67">
        <f t="shared" ref="F22" si="3">D22</f>
        <v>78505.124039460017</v>
      </c>
      <c r="G22" s="68">
        <f t="shared" ref="G22" si="4">E22-D22</f>
        <v>-2069.9706749740435</v>
      </c>
      <c r="H22" s="70">
        <f t="shared" si="2"/>
        <v>2.5099999999999998</v>
      </c>
      <c r="I22" s="32">
        <f>H22/H17</f>
        <v>0.2606438213914849</v>
      </c>
    </row>
    <row r="23" spans="1:11" s="72" customFormat="1" ht="14.25" x14ac:dyDescent="0.2">
      <c r="A23" s="227" t="s">
        <v>25</v>
      </c>
      <c r="B23" s="227" t="s">
        <v>26</v>
      </c>
      <c r="C23" s="202">
        <v>3.43</v>
      </c>
      <c r="D23" s="172">
        <v>104999.52</v>
      </c>
      <c r="E23" s="172">
        <v>102906.38</v>
      </c>
      <c r="F23" s="172">
        <f t="shared" si="0"/>
        <v>104999.52</v>
      </c>
      <c r="G23" s="172">
        <f t="shared" si="1"/>
        <v>-2093.1399999999994</v>
      </c>
      <c r="H23" s="173"/>
      <c r="I23" s="173"/>
      <c r="J23" s="173"/>
      <c r="K23" s="173"/>
    </row>
    <row r="24" spans="1:11" s="72" customFormat="1" ht="14.25" x14ac:dyDescent="0.2">
      <c r="A24" s="227" t="s">
        <v>27</v>
      </c>
      <c r="B24" s="227" t="s">
        <v>28</v>
      </c>
      <c r="C24" s="202">
        <v>4.5999999999999996</v>
      </c>
      <c r="D24" s="172">
        <v>140815.20000000001</v>
      </c>
      <c r="E24" s="172">
        <v>138448.65</v>
      </c>
      <c r="F24" s="172">
        <f t="shared" si="0"/>
        <v>140815.20000000001</v>
      </c>
      <c r="G24" s="172">
        <f t="shared" si="1"/>
        <v>-2366.5500000000175</v>
      </c>
      <c r="H24" s="173"/>
      <c r="I24" s="173"/>
      <c r="J24" s="173"/>
      <c r="K24" s="173"/>
    </row>
    <row r="25" spans="1:11" s="72" customFormat="1" ht="14.25" x14ac:dyDescent="0.2">
      <c r="A25" s="227" t="s">
        <v>29</v>
      </c>
      <c r="B25" s="227" t="s">
        <v>248</v>
      </c>
      <c r="C25" s="202">
        <v>36.56</v>
      </c>
      <c r="D25" s="172">
        <v>438.72</v>
      </c>
      <c r="E25" s="172">
        <v>433.78</v>
      </c>
      <c r="F25" s="172">
        <f>D25</f>
        <v>438.72</v>
      </c>
      <c r="G25" s="172">
        <f t="shared" si="1"/>
        <v>-4.9400000000000546</v>
      </c>
      <c r="H25" s="173"/>
      <c r="I25" s="173"/>
      <c r="J25" s="173"/>
      <c r="K25" s="173"/>
    </row>
    <row r="26" spans="1:11" s="72" customFormat="1" ht="14.25" x14ac:dyDescent="0.2">
      <c r="A26" s="227" t="s">
        <v>31</v>
      </c>
      <c r="B26" s="227" t="s">
        <v>132</v>
      </c>
      <c r="C26" s="263">
        <v>1.48</v>
      </c>
      <c r="D26" s="172">
        <v>45305.760000000002</v>
      </c>
      <c r="E26" s="172">
        <v>44544.27</v>
      </c>
      <c r="F26" s="172">
        <f>F41</f>
        <v>50772.362699999998</v>
      </c>
      <c r="G26" s="172">
        <f>E26-D26</f>
        <v>-761.49000000000524</v>
      </c>
      <c r="H26" s="173"/>
      <c r="I26" s="173"/>
      <c r="J26" s="173"/>
      <c r="K26" s="173"/>
    </row>
    <row r="27" spans="1:11" ht="14.25" x14ac:dyDescent="0.2">
      <c r="A27" s="137" t="s">
        <v>33</v>
      </c>
      <c r="B27" s="137" t="s">
        <v>34</v>
      </c>
      <c r="C27" s="201">
        <v>0</v>
      </c>
      <c r="D27" s="166">
        <v>0</v>
      </c>
      <c r="E27" s="166">
        <v>0</v>
      </c>
      <c r="F27" s="172">
        <v>0</v>
      </c>
      <c r="G27" s="166">
        <f t="shared" si="1"/>
        <v>0</v>
      </c>
      <c r="H27" s="37"/>
      <c r="I27" s="37"/>
      <c r="J27" s="37"/>
      <c r="K27" s="37"/>
    </row>
    <row r="28" spans="1:11" ht="14.25" x14ac:dyDescent="0.2">
      <c r="A28" s="137" t="s">
        <v>35</v>
      </c>
      <c r="B28" s="137" t="s">
        <v>36</v>
      </c>
      <c r="C28" s="201">
        <v>0</v>
      </c>
      <c r="D28" s="166">
        <f>SUM(D29:D32)</f>
        <v>204953.5</v>
      </c>
      <c r="E28" s="166">
        <f>SUM(E29:E32)</f>
        <v>212590.97999999998</v>
      </c>
      <c r="F28" s="166">
        <f>SUM(F29:F32)</f>
        <v>204953.5</v>
      </c>
      <c r="G28" s="166">
        <f>SUM(G29:G32)</f>
        <v>7637.4799999999814</v>
      </c>
      <c r="H28" s="37"/>
      <c r="I28" s="37"/>
      <c r="J28" s="37"/>
      <c r="K28" s="37"/>
    </row>
    <row r="29" spans="1:11" ht="15" x14ac:dyDescent="0.25">
      <c r="A29" s="9" t="s">
        <v>37</v>
      </c>
      <c r="B29" s="9" t="s">
        <v>263</v>
      </c>
      <c r="C29" s="250" t="s">
        <v>245</v>
      </c>
      <c r="D29" s="68">
        <v>46776.11</v>
      </c>
      <c r="E29" s="68">
        <v>45620.61</v>
      </c>
      <c r="F29" s="68">
        <f>D29</f>
        <v>46776.11</v>
      </c>
      <c r="G29" s="68">
        <f>E29-D29</f>
        <v>-1155.5</v>
      </c>
    </row>
    <row r="30" spans="1:11" ht="15" x14ac:dyDescent="0.25">
      <c r="A30" s="9" t="s">
        <v>39</v>
      </c>
      <c r="B30" s="9" t="s">
        <v>171</v>
      </c>
      <c r="C30" s="250" t="s">
        <v>246</v>
      </c>
      <c r="D30" s="68">
        <v>158177.39000000001</v>
      </c>
      <c r="E30" s="68">
        <v>166970.37</v>
      </c>
      <c r="F30" s="68">
        <f>D30</f>
        <v>158177.39000000001</v>
      </c>
      <c r="G30" s="68">
        <f>E30-D30</f>
        <v>8792.9799999999814</v>
      </c>
    </row>
    <row r="31" spans="1:11" ht="15" x14ac:dyDescent="0.25">
      <c r="A31" s="9" t="s">
        <v>42</v>
      </c>
      <c r="B31" s="9" t="s">
        <v>173</v>
      </c>
      <c r="C31" s="235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11" ht="15" x14ac:dyDescent="0.25">
      <c r="A32" s="9" t="s">
        <v>41</v>
      </c>
      <c r="B32" s="9" t="s">
        <v>43</v>
      </c>
      <c r="C32" s="250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1" s="20" customFormat="1" ht="8.25" customHeight="1" thickBot="1" x14ac:dyDescent="0.3">
      <c r="A33" s="46"/>
      <c r="B33" s="46"/>
      <c r="C33" s="46"/>
      <c r="D33" s="22"/>
      <c r="E33" s="22"/>
      <c r="F33" s="22"/>
      <c r="G33" s="22"/>
      <c r="H33" s="22"/>
      <c r="I33" s="22"/>
    </row>
    <row r="34" spans="1:11" s="15" customFormat="1" ht="15.75" thickBot="1" x14ac:dyDescent="0.3">
      <c r="A34" s="287" t="s">
        <v>241</v>
      </c>
      <c r="B34" s="288"/>
      <c r="C34" s="288"/>
      <c r="D34" s="73">
        <f>D12+D17+D24+D25+D26+D27+D28+D23-E17-E24-E25-E26-E27-E28-E23</f>
        <v>32002.570000000065</v>
      </c>
      <c r="E34" s="39"/>
      <c r="F34" s="39"/>
      <c r="G34" s="39"/>
      <c r="H34" s="40"/>
      <c r="I34" s="40"/>
    </row>
    <row r="35" spans="1:11" s="15" customFormat="1" ht="9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1" s="15" customFormat="1" ht="15.75" thickBot="1" x14ac:dyDescent="0.3">
      <c r="A36" s="257" t="s">
        <v>243</v>
      </c>
      <c r="B36" s="258"/>
      <c r="C36" s="258"/>
      <c r="D36" s="44"/>
      <c r="E36" s="45"/>
      <c r="F36" s="45"/>
      <c r="G36" s="38">
        <f>G14+E26-F26</f>
        <v>-4339.1826999999976</v>
      </c>
      <c r="H36" s="40"/>
      <c r="I36" s="40"/>
    </row>
    <row r="37" spans="1:11" s="20" customFormat="1" ht="13.5" x14ac:dyDescent="0.2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1" ht="28.5" customHeight="1" x14ac:dyDescent="0.2">
      <c r="A38" s="289" t="s">
        <v>479</v>
      </c>
      <c r="B38" s="289"/>
      <c r="C38" s="289"/>
      <c r="D38" s="289"/>
      <c r="E38" s="289"/>
      <c r="F38" s="289"/>
      <c r="G38" s="289"/>
      <c r="H38" s="179"/>
      <c r="I38" s="179"/>
      <c r="J38" s="179"/>
      <c r="K38" s="179"/>
    </row>
    <row r="40" spans="1:11" s="18" customFormat="1" ht="28.5" x14ac:dyDescent="0.25">
      <c r="A40" s="259" t="s">
        <v>11</v>
      </c>
      <c r="B40" s="306" t="s">
        <v>45</v>
      </c>
      <c r="C40" s="307"/>
      <c r="D40" s="259" t="s">
        <v>254</v>
      </c>
      <c r="E40" s="259" t="s">
        <v>253</v>
      </c>
      <c r="F40" s="306" t="s">
        <v>46</v>
      </c>
      <c r="G40" s="307"/>
    </row>
    <row r="41" spans="1:11" s="12" customFormat="1" ht="15" x14ac:dyDescent="0.25">
      <c r="A41" s="11" t="s">
        <v>47</v>
      </c>
      <c r="B41" s="308" t="s">
        <v>127</v>
      </c>
      <c r="C41" s="309"/>
      <c r="D41" s="176"/>
      <c r="E41" s="176"/>
      <c r="F41" s="316">
        <f>SUM(F42:G49)</f>
        <v>50772.362699999998</v>
      </c>
      <c r="G41" s="312"/>
    </row>
    <row r="42" spans="1:11" ht="15" x14ac:dyDescent="0.25">
      <c r="A42" s="9" t="s">
        <v>16</v>
      </c>
      <c r="B42" s="298" t="s">
        <v>488</v>
      </c>
      <c r="C42" s="299"/>
      <c r="D42" s="177" t="s">
        <v>262</v>
      </c>
      <c r="E42" s="177">
        <v>2</v>
      </c>
      <c r="F42" s="329">
        <v>10641.86</v>
      </c>
      <c r="G42" s="330"/>
    </row>
    <row r="43" spans="1:11" ht="15" x14ac:dyDescent="0.25">
      <c r="A43" s="9" t="s">
        <v>18</v>
      </c>
      <c r="B43" s="298" t="s">
        <v>482</v>
      </c>
      <c r="C43" s="299"/>
      <c r="D43" s="177" t="s">
        <v>262</v>
      </c>
      <c r="E43" s="177">
        <v>2</v>
      </c>
      <c r="F43" s="329">
        <v>18596.599999999999</v>
      </c>
      <c r="G43" s="330"/>
    </row>
    <row r="44" spans="1:11" s="25" customFormat="1" ht="15" x14ac:dyDescent="0.25">
      <c r="A44" s="9" t="s">
        <v>20</v>
      </c>
      <c r="B44" s="298" t="s">
        <v>483</v>
      </c>
      <c r="C44" s="299"/>
      <c r="D44" s="177" t="s">
        <v>262</v>
      </c>
      <c r="E44" s="177">
        <v>2</v>
      </c>
      <c r="F44" s="329">
        <v>4082.18</v>
      </c>
      <c r="G44" s="330"/>
      <c r="H44" s="23"/>
      <c r="I44" s="23"/>
    </row>
    <row r="45" spans="1:11" s="25" customFormat="1" ht="27" customHeight="1" x14ac:dyDescent="0.25">
      <c r="A45" s="9" t="s">
        <v>22</v>
      </c>
      <c r="B45" s="298" t="s">
        <v>484</v>
      </c>
      <c r="C45" s="299"/>
      <c r="D45" s="177" t="s">
        <v>262</v>
      </c>
      <c r="E45" s="177">
        <v>2</v>
      </c>
      <c r="F45" s="329">
        <v>9000</v>
      </c>
      <c r="G45" s="330"/>
      <c r="H45" s="23"/>
      <c r="I45" s="23"/>
    </row>
    <row r="46" spans="1:11" s="3" customFormat="1" ht="25.5" customHeight="1" x14ac:dyDescent="0.25">
      <c r="A46" s="9" t="s">
        <v>24</v>
      </c>
      <c r="B46" s="298" t="s">
        <v>485</v>
      </c>
      <c r="C46" s="299"/>
      <c r="D46" s="177"/>
      <c r="E46" s="177"/>
      <c r="F46" s="329">
        <v>6316.28</v>
      </c>
      <c r="G46" s="330"/>
      <c r="H46" s="23"/>
      <c r="I46" s="23"/>
    </row>
    <row r="47" spans="1:11" s="25" customFormat="1" ht="15" x14ac:dyDescent="0.25">
      <c r="A47" s="9" t="s">
        <v>117</v>
      </c>
      <c r="B47" s="298" t="s">
        <v>486</v>
      </c>
      <c r="C47" s="299"/>
      <c r="D47" s="177" t="s">
        <v>295</v>
      </c>
      <c r="E47" s="177">
        <v>2.5</v>
      </c>
      <c r="F47" s="329">
        <v>1190</v>
      </c>
      <c r="G47" s="330"/>
      <c r="H47" s="23"/>
      <c r="I47" s="23"/>
    </row>
    <row r="48" spans="1:11" s="25" customFormat="1" ht="15" x14ac:dyDescent="0.25">
      <c r="A48" s="9" t="s">
        <v>118</v>
      </c>
      <c r="B48" s="298" t="s">
        <v>487</v>
      </c>
      <c r="C48" s="299"/>
      <c r="D48" s="177" t="s">
        <v>262</v>
      </c>
      <c r="E48" s="177">
        <v>4</v>
      </c>
      <c r="F48" s="329">
        <v>500</v>
      </c>
      <c r="G48" s="330"/>
      <c r="H48" s="23"/>
      <c r="I48" s="23"/>
    </row>
    <row r="49" spans="1:11" s="25" customFormat="1" ht="15" x14ac:dyDescent="0.25">
      <c r="A49" s="9" t="s">
        <v>133</v>
      </c>
      <c r="B49" s="327" t="s">
        <v>533</v>
      </c>
      <c r="C49" s="328"/>
      <c r="D49" s="246"/>
      <c r="E49" s="246"/>
      <c r="F49" s="317">
        <f>E26*1%</f>
        <v>445.4427</v>
      </c>
      <c r="G49" s="317"/>
      <c r="H49" s="23"/>
      <c r="I49" s="23"/>
    </row>
    <row r="50" spans="1:11" s="25" customFormat="1" x14ac:dyDescent="0.2"/>
    <row r="51" spans="1:11" s="25" customFormat="1" ht="15" x14ac:dyDescent="0.25">
      <c r="A51" s="3" t="s">
        <v>55</v>
      </c>
      <c r="B51" s="3"/>
      <c r="C51" s="101" t="s">
        <v>49</v>
      </c>
      <c r="D51" s="3"/>
      <c r="E51" s="3"/>
      <c r="F51" s="3" t="s">
        <v>102</v>
      </c>
      <c r="G51" s="3"/>
      <c r="H51" s="3"/>
      <c r="I51" s="3"/>
      <c r="J51" s="3"/>
      <c r="K51" s="3"/>
    </row>
    <row r="52" spans="1:11" ht="15" x14ac:dyDescent="0.25">
      <c r="A52" s="3"/>
      <c r="B52" s="3"/>
      <c r="C52" s="101"/>
      <c r="D52" s="3"/>
      <c r="E52" s="3"/>
      <c r="F52" s="4" t="s">
        <v>265</v>
      </c>
      <c r="G52" s="3"/>
      <c r="H52" s="25"/>
      <c r="I52" s="25"/>
      <c r="J52" s="25"/>
      <c r="K52" s="25"/>
    </row>
    <row r="53" spans="1:11" ht="15" x14ac:dyDescent="0.25">
      <c r="A53" s="3" t="s">
        <v>50</v>
      </c>
      <c r="B53" s="3"/>
      <c r="C53" s="101"/>
      <c r="D53" s="3"/>
      <c r="E53" s="3"/>
      <c r="F53" s="3"/>
      <c r="G53" s="3"/>
      <c r="H53" s="34"/>
      <c r="I53" s="34"/>
      <c r="J53" s="34"/>
      <c r="K53" s="25"/>
    </row>
    <row r="54" spans="1:11" ht="15" x14ac:dyDescent="0.25">
      <c r="A54" s="3"/>
      <c r="B54" s="3"/>
      <c r="C54" s="106" t="s">
        <v>51</v>
      </c>
      <c r="D54" s="3"/>
      <c r="E54" s="14"/>
      <c r="F54" s="14"/>
      <c r="G54" s="14"/>
      <c r="H54" s="25"/>
      <c r="I54" s="25"/>
      <c r="J54" s="25"/>
      <c r="K54" s="25"/>
    </row>
  </sheetData>
  <mergeCells count="30">
    <mergeCell ref="B49:C49"/>
    <mergeCell ref="F49:G49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A11:I11"/>
    <mergeCell ref="A12:C12"/>
    <mergeCell ref="A34:C34"/>
    <mergeCell ref="B40:C40"/>
    <mergeCell ref="F40:G40"/>
    <mergeCell ref="B41:C41"/>
    <mergeCell ref="F41:G41"/>
    <mergeCell ref="B42:C42"/>
    <mergeCell ref="F42:G42"/>
    <mergeCell ref="A38:G38"/>
    <mergeCell ref="A10:I10"/>
    <mergeCell ref="A1:I1"/>
    <mergeCell ref="A2:I2"/>
    <mergeCell ref="A3:I3"/>
    <mergeCell ref="A5:I5"/>
    <mergeCell ref="A9:I9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F52" sqref="F52"/>
    </sheetView>
  </sheetViews>
  <sheetFormatPr defaultRowHeight="12.75" outlineLevelCol="1" x14ac:dyDescent="0.2"/>
  <cols>
    <col min="1" max="1" width="6" style="23" customWidth="1"/>
    <col min="2" max="2" width="52.140625" style="23" customWidth="1"/>
    <col min="3" max="3" width="12.28515625" style="23" customWidth="1"/>
    <col min="4" max="4" width="14.85546875" style="23" customWidth="1"/>
    <col min="5" max="5" width="12.5703125" style="23" customWidth="1"/>
    <col min="6" max="6" width="12.42578125" style="23" customWidth="1"/>
    <col min="7" max="7" width="14.5703125" style="23" customWidth="1"/>
    <col min="8" max="9" width="11.5703125" style="23" hidden="1" customWidth="1" outlineLevel="1"/>
    <col min="10" max="10" width="10" style="23" bestFit="1" customWidth="1" collapsed="1"/>
    <col min="11" max="11" width="15.85546875" style="23" customWidth="1"/>
    <col min="12" max="16384" width="9.140625" style="23"/>
  </cols>
  <sheetData>
    <row r="1" spans="1:9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</row>
    <row r="3" spans="1:9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</row>
    <row r="4" spans="1:9" ht="9" customHeight="1" x14ac:dyDescent="0.2">
      <c r="A4" s="24"/>
      <c r="B4" s="24"/>
      <c r="C4" s="24"/>
      <c r="D4" s="24"/>
      <c r="E4" s="24"/>
      <c r="F4" s="24"/>
      <c r="G4" s="24"/>
      <c r="H4" s="24"/>
      <c r="I4" s="24"/>
    </row>
    <row r="5" spans="1:9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</row>
    <row r="7" spans="1:9" s="25" customFormat="1" ht="16.5" customHeight="1" x14ac:dyDescent="0.2">
      <c r="A7" s="25" t="s">
        <v>2</v>
      </c>
      <c r="F7" s="26" t="s">
        <v>230</v>
      </c>
      <c r="H7" s="26"/>
    </row>
    <row r="8" spans="1:9" s="25" customFormat="1" x14ac:dyDescent="0.2">
      <c r="A8" s="25" t="s">
        <v>3</v>
      </c>
      <c r="F8" s="26" t="s">
        <v>231</v>
      </c>
      <c r="H8" s="26"/>
    </row>
    <row r="9" spans="1:9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</row>
    <row r="10" spans="1:9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</row>
    <row r="11" spans="1:9" s="25" customFormat="1" ht="15.75" customHeight="1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</row>
    <row r="12" spans="1:9" s="15" customFormat="1" ht="16.5" customHeight="1" thickBot="1" x14ac:dyDescent="0.3">
      <c r="A12" s="287" t="s">
        <v>240</v>
      </c>
      <c r="B12" s="288"/>
      <c r="C12" s="288"/>
      <c r="D12" s="73">
        <v>21459.95</v>
      </c>
      <c r="E12" s="39"/>
      <c r="F12" s="39"/>
      <c r="G12" s="39"/>
      <c r="H12" s="40"/>
      <c r="I12" s="40"/>
    </row>
    <row r="13" spans="1:9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 x14ac:dyDescent="0.3">
      <c r="A14" s="87" t="s">
        <v>215</v>
      </c>
      <c r="B14" s="43"/>
      <c r="C14" s="43"/>
      <c r="D14" s="44"/>
      <c r="E14" s="45"/>
      <c r="F14" s="45"/>
      <c r="G14" s="73">
        <v>2554.9499999999998</v>
      </c>
      <c r="H14" s="40"/>
      <c r="I14" s="40"/>
    </row>
    <row r="15" spans="1:9" s="25" customFormat="1" ht="6.75" customHeight="1" x14ac:dyDescent="0.2"/>
    <row r="16" spans="1:9" s="18" customFormat="1" ht="52.5" customHeight="1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1" s="25" customFormat="1" ht="14.25" x14ac:dyDescent="0.2">
      <c r="A17" s="187" t="s">
        <v>14</v>
      </c>
      <c r="B17" s="137" t="s">
        <v>15</v>
      </c>
      <c r="C17" s="241">
        <f>C18+C19+C20+C21+C22</f>
        <v>9.6300000000000008</v>
      </c>
      <c r="D17" s="165">
        <v>340065.42</v>
      </c>
      <c r="E17" s="165">
        <v>337167.4</v>
      </c>
      <c r="F17" s="165">
        <f t="shared" ref="F17:F24" si="0">D17</f>
        <v>340065.42</v>
      </c>
      <c r="G17" s="166">
        <f>E17-D17</f>
        <v>-2898.0199999999604</v>
      </c>
      <c r="H17" s="162">
        <f>C17</f>
        <v>9.6300000000000008</v>
      </c>
      <c r="I17" s="32"/>
      <c r="J17" s="70"/>
      <c r="K17" s="63"/>
    </row>
    <row r="18" spans="1:11" s="25" customFormat="1" ht="15" x14ac:dyDescent="0.25">
      <c r="A18" s="8" t="s">
        <v>16</v>
      </c>
      <c r="B18" s="9" t="s">
        <v>17</v>
      </c>
      <c r="C18" s="92">
        <v>2.62</v>
      </c>
      <c r="D18" s="67">
        <f>D17*I18</f>
        <v>92520.39464174454</v>
      </c>
      <c r="E18" s="67">
        <f>E17*I18</f>
        <v>91731.940602284536</v>
      </c>
      <c r="F18" s="67">
        <f t="shared" si="0"/>
        <v>92520.39464174454</v>
      </c>
      <c r="G18" s="68">
        <f t="shared" ref="G18:G27" si="1">E18-D18</f>
        <v>-788.45403946000442</v>
      </c>
      <c r="H18" s="162">
        <f t="shared" ref="H18:H22" si="2">C18</f>
        <v>2.62</v>
      </c>
      <c r="I18" s="32">
        <f>H18/H17</f>
        <v>0.27206645898234683</v>
      </c>
    </row>
    <row r="19" spans="1:11" s="25" customFormat="1" ht="15" x14ac:dyDescent="0.25">
      <c r="A19" s="8" t="s">
        <v>18</v>
      </c>
      <c r="B19" s="9" t="s">
        <v>19</v>
      </c>
      <c r="C19" s="92">
        <f>0.77+0.05+0.07+0.12+0.32</f>
        <v>1.3300000000000003</v>
      </c>
      <c r="D19" s="67">
        <f>D17*I19</f>
        <v>46966.45987538941</v>
      </c>
      <c r="E19" s="67">
        <f>E17*I19</f>
        <v>46566.214122533755</v>
      </c>
      <c r="F19" s="67">
        <f t="shared" si="0"/>
        <v>46966.45987538941</v>
      </c>
      <c r="G19" s="68">
        <f t="shared" si="1"/>
        <v>-400.24575285565516</v>
      </c>
      <c r="H19" s="162">
        <f t="shared" si="2"/>
        <v>1.3300000000000003</v>
      </c>
      <c r="I19" s="32">
        <f>H19/H17</f>
        <v>0.13811007268951195</v>
      </c>
    </row>
    <row r="20" spans="1:11" s="25" customFormat="1" ht="15" x14ac:dyDescent="0.25">
      <c r="A20" s="8" t="s">
        <v>20</v>
      </c>
      <c r="B20" s="9" t="s">
        <v>21</v>
      </c>
      <c r="C20" s="92">
        <v>0.78</v>
      </c>
      <c r="D20" s="67">
        <f>D17*I20</f>
        <v>27544.239626168222</v>
      </c>
      <c r="E20" s="67">
        <f>E17*I20</f>
        <v>27309.509034267914</v>
      </c>
      <c r="F20" s="67">
        <f t="shared" si="0"/>
        <v>27544.239626168222</v>
      </c>
      <c r="G20" s="68">
        <f t="shared" si="1"/>
        <v>-234.73059190030835</v>
      </c>
      <c r="H20" s="162">
        <f t="shared" si="2"/>
        <v>0.78</v>
      </c>
      <c r="I20" s="32">
        <f>H20/H17</f>
        <v>8.0996884735202487E-2</v>
      </c>
    </row>
    <row r="21" spans="1:11" s="25" customFormat="1" ht="15" x14ac:dyDescent="0.25">
      <c r="A21" s="8" t="s">
        <v>22</v>
      </c>
      <c r="B21" s="9" t="s">
        <v>23</v>
      </c>
      <c r="C21" s="92">
        <v>2.39</v>
      </c>
      <c r="D21" s="67">
        <f>D17*I21</f>
        <v>84398.375264797491</v>
      </c>
      <c r="E21" s="67">
        <f>E17*I21</f>
        <v>83679.136656282455</v>
      </c>
      <c r="F21" s="67">
        <f t="shared" si="0"/>
        <v>84398.375264797491</v>
      </c>
      <c r="G21" s="68">
        <f t="shared" si="1"/>
        <v>-719.23860851503559</v>
      </c>
      <c r="H21" s="162">
        <f t="shared" si="2"/>
        <v>2.39</v>
      </c>
      <c r="I21" s="32">
        <f>H21/H17</f>
        <v>0.24818276220145377</v>
      </c>
    </row>
    <row r="22" spans="1:11" s="25" customFormat="1" ht="15" x14ac:dyDescent="0.25">
      <c r="A22" s="8" t="s">
        <v>24</v>
      </c>
      <c r="B22" s="9" t="s">
        <v>489</v>
      </c>
      <c r="C22" s="92">
        <v>2.5099999999999998</v>
      </c>
      <c r="D22" s="67">
        <f>D17*I22</f>
        <v>88635.950591900299</v>
      </c>
      <c r="E22" s="67">
        <f>E17*I22</f>
        <v>87880.599584631345</v>
      </c>
      <c r="F22" s="67">
        <f t="shared" si="0"/>
        <v>88635.950591900299</v>
      </c>
      <c r="G22" s="68">
        <f t="shared" si="1"/>
        <v>-755.35100726895325</v>
      </c>
      <c r="H22" s="162">
        <f t="shared" si="2"/>
        <v>2.5099999999999998</v>
      </c>
      <c r="I22" s="32">
        <f>H22/H17</f>
        <v>0.2606438213914849</v>
      </c>
    </row>
    <row r="23" spans="1:11" s="72" customFormat="1" ht="14.25" x14ac:dyDescent="0.2">
      <c r="A23" s="227" t="s">
        <v>25</v>
      </c>
      <c r="B23" s="227" t="s">
        <v>26</v>
      </c>
      <c r="C23" s="202">
        <v>3.43</v>
      </c>
      <c r="D23" s="172">
        <v>118549.2</v>
      </c>
      <c r="E23" s="172">
        <v>118162.16</v>
      </c>
      <c r="F23" s="172">
        <f t="shared" si="0"/>
        <v>118549.2</v>
      </c>
      <c r="G23" s="172">
        <f t="shared" si="1"/>
        <v>-387.0399999999936</v>
      </c>
    </row>
    <row r="24" spans="1:11" s="72" customFormat="1" ht="14.25" x14ac:dyDescent="0.2">
      <c r="A24" s="227" t="s">
        <v>27</v>
      </c>
      <c r="B24" s="227" t="s">
        <v>28</v>
      </c>
      <c r="C24" s="202">
        <v>4.5999999999999996</v>
      </c>
      <c r="D24" s="172">
        <v>158987.04</v>
      </c>
      <c r="E24" s="172">
        <v>158854.07999999999</v>
      </c>
      <c r="F24" s="172">
        <f t="shared" si="0"/>
        <v>158987.04</v>
      </c>
      <c r="G24" s="172">
        <f t="shared" si="1"/>
        <v>-132.96000000002095</v>
      </c>
    </row>
    <row r="25" spans="1:11" s="72" customFormat="1" ht="14.25" x14ac:dyDescent="0.2">
      <c r="A25" s="227" t="s">
        <v>29</v>
      </c>
      <c r="B25" s="227" t="s">
        <v>248</v>
      </c>
      <c r="C25" s="202">
        <v>36.56</v>
      </c>
      <c r="D25" s="172">
        <v>438.24</v>
      </c>
      <c r="E25" s="172">
        <v>437.82</v>
      </c>
      <c r="F25" s="172">
        <v>0</v>
      </c>
      <c r="G25" s="172">
        <f t="shared" si="1"/>
        <v>-0.42000000000001592</v>
      </c>
    </row>
    <row r="26" spans="1:11" s="72" customFormat="1" ht="14.25" x14ac:dyDescent="0.2">
      <c r="A26" s="227" t="s">
        <v>31</v>
      </c>
      <c r="B26" s="227" t="s">
        <v>132</v>
      </c>
      <c r="C26" s="263">
        <v>1.48</v>
      </c>
      <c r="D26" s="172">
        <v>51152.160000000003</v>
      </c>
      <c r="E26" s="172">
        <v>51109.38</v>
      </c>
      <c r="F26" s="172">
        <f>F41</f>
        <v>44516.183799999999</v>
      </c>
      <c r="G26" s="172">
        <f>E26-D26</f>
        <v>-42.780000000006112</v>
      </c>
    </row>
    <row r="27" spans="1:11" ht="14.25" x14ac:dyDescent="0.2">
      <c r="A27" s="137" t="s">
        <v>33</v>
      </c>
      <c r="B27" s="137" t="s">
        <v>34</v>
      </c>
      <c r="C27" s="201">
        <v>0</v>
      </c>
      <c r="D27" s="166">
        <v>0</v>
      </c>
      <c r="E27" s="166">
        <v>0</v>
      </c>
      <c r="F27" s="172">
        <v>0</v>
      </c>
      <c r="G27" s="166">
        <f t="shared" si="1"/>
        <v>0</v>
      </c>
    </row>
    <row r="28" spans="1:11" ht="14.25" x14ac:dyDescent="0.2">
      <c r="A28" s="137" t="s">
        <v>35</v>
      </c>
      <c r="B28" s="137" t="s">
        <v>36</v>
      </c>
      <c r="C28" s="201">
        <v>0</v>
      </c>
      <c r="D28" s="166">
        <f>SUM(D29:D32)</f>
        <v>282276.02</v>
      </c>
      <c r="E28" s="166">
        <f>SUM(E29:E32)</f>
        <v>287199.23</v>
      </c>
      <c r="F28" s="166">
        <f>SUM(F29:F32)</f>
        <v>282276.02</v>
      </c>
      <c r="G28" s="166">
        <f>SUM(G29:G32)</f>
        <v>4923.2099999999991</v>
      </c>
    </row>
    <row r="29" spans="1:11" ht="15" x14ac:dyDescent="0.25">
      <c r="A29" s="9" t="s">
        <v>37</v>
      </c>
      <c r="B29" s="9" t="s">
        <v>263</v>
      </c>
      <c r="C29" s="250" t="s">
        <v>245</v>
      </c>
      <c r="D29" s="68">
        <v>58662.85</v>
      </c>
      <c r="E29" s="68">
        <v>57911.03</v>
      </c>
      <c r="F29" s="68">
        <f>D29</f>
        <v>58662.85</v>
      </c>
      <c r="G29" s="68">
        <f>E29-D29</f>
        <v>-751.81999999999971</v>
      </c>
    </row>
    <row r="30" spans="1:11" ht="15" x14ac:dyDescent="0.25">
      <c r="A30" s="9" t="s">
        <v>39</v>
      </c>
      <c r="B30" s="9" t="s">
        <v>171</v>
      </c>
      <c r="C30" s="250" t="s">
        <v>246</v>
      </c>
      <c r="D30" s="68">
        <v>223613.17</v>
      </c>
      <c r="E30" s="68">
        <v>229288.2</v>
      </c>
      <c r="F30" s="68">
        <f>D30</f>
        <v>223613.17</v>
      </c>
      <c r="G30" s="68">
        <f>E30-D30</f>
        <v>5675.0299999999988</v>
      </c>
    </row>
    <row r="31" spans="1:11" ht="15" x14ac:dyDescent="0.25">
      <c r="A31" s="9" t="s">
        <v>42</v>
      </c>
      <c r="B31" s="9" t="s">
        <v>173</v>
      </c>
      <c r="C31" s="235">
        <v>0</v>
      </c>
      <c r="D31" s="68">
        <v>0</v>
      </c>
      <c r="E31" s="68">
        <v>0</v>
      </c>
      <c r="F31" s="68">
        <f>D31</f>
        <v>0</v>
      </c>
      <c r="G31" s="68">
        <f>E31-D31</f>
        <v>0</v>
      </c>
    </row>
    <row r="32" spans="1:11" ht="15" x14ac:dyDescent="0.25">
      <c r="A32" s="9" t="s">
        <v>41</v>
      </c>
      <c r="B32" s="9" t="s">
        <v>43</v>
      </c>
      <c r="C32" s="250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9" s="20" customFormat="1" ht="14.25" thickBot="1" x14ac:dyDescent="0.3">
      <c r="A33" s="46"/>
      <c r="B33" s="46"/>
      <c r="C33" s="46"/>
      <c r="D33" s="22"/>
      <c r="E33" s="22"/>
      <c r="F33" s="22"/>
      <c r="G33" s="22"/>
      <c r="H33" s="22"/>
      <c r="I33" s="22"/>
    </row>
    <row r="34" spans="1:9" s="15" customFormat="1" ht="15.75" thickBot="1" x14ac:dyDescent="0.3">
      <c r="A34" s="287" t="s">
        <v>241</v>
      </c>
      <c r="B34" s="288"/>
      <c r="C34" s="288"/>
      <c r="D34" s="73">
        <f>D12+D17+D24+D25+D26+D27+D28+D23-E17-E24-E25-E26-E27-E28-E23</f>
        <v>19997.96000000005</v>
      </c>
      <c r="E34" s="39"/>
      <c r="F34" s="39"/>
      <c r="G34" s="39"/>
      <c r="H34" s="40"/>
      <c r="I34" s="40"/>
    </row>
    <row r="35" spans="1:9" s="15" customFormat="1" ht="15.75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9" s="15" customFormat="1" ht="15.75" thickBot="1" x14ac:dyDescent="0.3">
      <c r="A36" s="257" t="s">
        <v>243</v>
      </c>
      <c r="B36" s="258"/>
      <c r="C36" s="258"/>
      <c r="D36" s="44"/>
      <c r="E36" s="45"/>
      <c r="F36" s="45"/>
      <c r="G36" s="38">
        <f>G14+E26-F26</f>
        <v>9148.1461999999956</v>
      </c>
      <c r="H36" s="40"/>
      <c r="I36" s="40"/>
    </row>
    <row r="37" spans="1:9" s="20" customFormat="1" ht="13.5" x14ac:dyDescent="0.25">
      <c r="A37" s="21"/>
      <c r="B37" s="21"/>
      <c r="C37" s="21"/>
      <c r="D37" s="21"/>
      <c r="E37" s="22"/>
      <c r="F37" s="22"/>
      <c r="G37" s="22"/>
      <c r="H37" s="22"/>
      <c r="I37" s="22"/>
    </row>
    <row r="38" spans="1:9" ht="26.25" customHeight="1" x14ac:dyDescent="0.2">
      <c r="A38" s="289" t="s">
        <v>479</v>
      </c>
      <c r="B38" s="289"/>
      <c r="C38" s="289"/>
      <c r="D38" s="289"/>
      <c r="E38" s="289"/>
      <c r="F38" s="289"/>
      <c r="G38" s="289"/>
      <c r="H38" s="179"/>
      <c r="I38" s="179"/>
    </row>
    <row r="40" spans="1:9" s="18" customFormat="1" ht="28.5" x14ac:dyDescent="0.25">
      <c r="A40" s="259" t="s">
        <v>11</v>
      </c>
      <c r="B40" s="306" t="s">
        <v>45</v>
      </c>
      <c r="C40" s="307"/>
      <c r="D40" s="259" t="s">
        <v>254</v>
      </c>
      <c r="E40" s="259" t="s">
        <v>253</v>
      </c>
      <c r="F40" s="306" t="s">
        <v>46</v>
      </c>
      <c r="G40" s="307"/>
    </row>
    <row r="41" spans="1:9" s="12" customFormat="1" ht="15" x14ac:dyDescent="0.25">
      <c r="A41" s="11" t="s">
        <v>47</v>
      </c>
      <c r="B41" s="308" t="s">
        <v>127</v>
      </c>
      <c r="C41" s="309"/>
      <c r="D41" s="176"/>
      <c r="E41" s="176"/>
      <c r="F41" s="316">
        <f>SUM(F42:G51)</f>
        <v>44516.183799999999</v>
      </c>
      <c r="G41" s="312"/>
    </row>
    <row r="42" spans="1:9" ht="15" x14ac:dyDescent="0.25">
      <c r="A42" s="9" t="s">
        <v>16</v>
      </c>
      <c r="B42" s="298" t="s">
        <v>480</v>
      </c>
      <c r="C42" s="299"/>
      <c r="D42" s="177" t="s">
        <v>262</v>
      </c>
      <c r="E42" s="177">
        <v>1</v>
      </c>
      <c r="F42" s="329">
        <v>1018.71</v>
      </c>
      <c r="G42" s="330"/>
    </row>
    <row r="43" spans="1:9" s="25" customFormat="1" ht="15" x14ac:dyDescent="0.25">
      <c r="A43" s="9" t="s">
        <v>18</v>
      </c>
      <c r="B43" s="298" t="s">
        <v>481</v>
      </c>
      <c r="C43" s="299"/>
      <c r="D43" s="177" t="s">
        <v>255</v>
      </c>
      <c r="E43" s="177">
        <v>4.5</v>
      </c>
      <c r="F43" s="329">
        <v>2315.54</v>
      </c>
      <c r="G43" s="330"/>
    </row>
    <row r="44" spans="1:9" s="25" customFormat="1" ht="15" x14ac:dyDescent="0.25">
      <c r="A44" s="9" t="s">
        <v>20</v>
      </c>
      <c r="B44" s="298" t="s">
        <v>482</v>
      </c>
      <c r="C44" s="299"/>
      <c r="D44" s="177" t="s">
        <v>262</v>
      </c>
      <c r="E44" s="177">
        <v>2</v>
      </c>
      <c r="F44" s="329">
        <v>18596.599999999999</v>
      </c>
      <c r="G44" s="330"/>
    </row>
    <row r="45" spans="1:9" s="3" customFormat="1" ht="25.5" customHeight="1" x14ac:dyDescent="0.25">
      <c r="A45" s="9" t="s">
        <v>22</v>
      </c>
      <c r="B45" s="298" t="s">
        <v>483</v>
      </c>
      <c r="C45" s="299"/>
      <c r="D45" s="177" t="s">
        <v>262</v>
      </c>
      <c r="E45" s="177">
        <v>2</v>
      </c>
      <c r="F45" s="329">
        <v>4082.18</v>
      </c>
      <c r="G45" s="330"/>
    </row>
    <row r="46" spans="1:9" s="25" customFormat="1" ht="28.5" customHeight="1" x14ac:dyDescent="0.25">
      <c r="A46" s="9" t="s">
        <v>24</v>
      </c>
      <c r="B46" s="298" t="s">
        <v>484</v>
      </c>
      <c r="C46" s="299"/>
      <c r="D46" s="177" t="s">
        <v>262</v>
      </c>
      <c r="E46" s="177">
        <v>2</v>
      </c>
      <c r="F46" s="329">
        <v>9000</v>
      </c>
      <c r="G46" s="330"/>
      <c r="H46" s="34"/>
      <c r="I46" s="34"/>
    </row>
    <row r="47" spans="1:9" s="25" customFormat="1" ht="15" x14ac:dyDescent="0.25">
      <c r="A47" s="9" t="s">
        <v>117</v>
      </c>
      <c r="B47" s="298" t="s">
        <v>303</v>
      </c>
      <c r="C47" s="299"/>
      <c r="D47" s="177" t="s">
        <v>262</v>
      </c>
      <c r="E47" s="177">
        <v>2</v>
      </c>
      <c r="F47" s="329">
        <v>985.78</v>
      </c>
      <c r="G47" s="330"/>
    </row>
    <row r="48" spans="1:9" s="25" customFormat="1" ht="15" x14ac:dyDescent="0.25">
      <c r="A48" s="9" t="s">
        <v>118</v>
      </c>
      <c r="B48" s="298" t="s">
        <v>485</v>
      </c>
      <c r="C48" s="299"/>
      <c r="D48" s="177"/>
      <c r="E48" s="177"/>
      <c r="F48" s="329">
        <v>6316.28</v>
      </c>
      <c r="G48" s="330"/>
    </row>
    <row r="49" spans="1:7" ht="15" x14ac:dyDescent="0.25">
      <c r="A49" s="9" t="s">
        <v>133</v>
      </c>
      <c r="B49" s="298" t="s">
        <v>486</v>
      </c>
      <c r="C49" s="299"/>
      <c r="D49" s="177" t="s">
        <v>295</v>
      </c>
      <c r="E49" s="177">
        <v>2.5</v>
      </c>
      <c r="F49" s="329">
        <v>1190</v>
      </c>
      <c r="G49" s="330"/>
    </row>
    <row r="50" spans="1:7" ht="15" x14ac:dyDescent="0.25">
      <c r="A50" s="9" t="s">
        <v>134</v>
      </c>
      <c r="B50" s="298" t="s">
        <v>487</v>
      </c>
      <c r="C50" s="299"/>
      <c r="D50" s="177" t="s">
        <v>262</v>
      </c>
      <c r="E50" s="177">
        <v>4</v>
      </c>
      <c r="F50" s="329">
        <v>500</v>
      </c>
      <c r="G50" s="330"/>
    </row>
    <row r="51" spans="1:7" ht="15" x14ac:dyDescent="0.25">
      <c r="A51" s="9" t="s">
        <v>135</v>
      </c>
      <c r="B51" s="327" t="s">
        <v>533</v>
      </c>
      <c r="C51" s="328"/>
      <c r="D51" s="246"/>
      <c r="E51" s="246"/>
      <c r="F51" s="317">
        <f>E26*1%</f>
        <v>511.09379999999999</v>
      </c>
      <c r="G51" s="317"/>
    </row>
    <row r="52" spans="1:7" ht="15" x14ac:dyDescent="0.25">
      <c r="A52" s="49"/>
      <c r="B52" s="51"/>
      <c r="C52" s="51"/>
      <c r="D52" s="264"/>
      <c r="E52" s="264"/>
      <c r="F52" s="52"/>
      <c r="G52" s="52"/>
    </row>
    <row r="53" spans="1:7" ht="15" x14ac:dyDescent="0.25">
      <c r="A53" s="3" t="s">
        <v>55</v>
      </c>
      <c r="B53" s="3"/>
      <c r="C53" s="101" t="s">
        <v>49</v>
      </c>
      <c r="D53" s="3"/>
      <c r="E53" s="3"/>
      <c r="F53" s="3" t="s">
        <v>102</v>
      </c>
      <c r="G53" s="3"/>
    </row>
    <row r="54" spans="1:7" ht="15" x14ac:dyDescent="0.25">
      <c r="A54" s="3"/>
      <c r="B54" s="3"/>
      <c r="C54" s="101"/>
      <c r="D54" s="3"/>
      <c r="E54" s="3"/>
      <c r="F54" s="4" t="s">
        <v>265</v>
      </c>
      <c r="G54" s="3"/>
    </row>
    <row r="55" spans="1:7" ht="15" x14ac:dyDescent="0.25">
      <c r="A55" s="3" t="s">
        <v>50</v>
      </c>
      <c r="B55" s="3"/>
      <c r="C55" s="101"/>
      <c r="D55" s="3"/>
      <c r="E55" s="3"/>
      <c r="F55" s="3"/>
      <c r="G55" s="3"/>
    </row>
    <row r="56" spans="1:7" ht="15" x14ac:dyDescent="0.25">
      <c r="A56" s="3"/>
      <c r="B56" s="3"/>
      <c r="C56" s="106" t="s">
        <v>51</v>
      </c>
      <c r="D56" s="3"/>
      <c r="E56" s="14"/>
      <c r="F56" s="14"/>
      <c r="G56" s="14"/>
    </row>
  </sheetData>
  <mergeCells count="34">
    <mergeCell ref="B50:C50"/>
    <mergeCell ref="F50:G50"/>
    <mergeCell ref="B51:C51"/>
    <mergeCell ref="F51:G51"/>
    <mergeCell ref="B47:C47"/>
    <mergeCell ref="F47:G47"/>
    <mergeCell ref="B48:C48"/>
    <mergeCell ref="F48:G48"/>
    <mergeCell ref="B49:C49"/>
    <mergeCell ref="F49:G49"/>
    <mergeCell ref="B45:C45"/>
    <mergeCell ref="F45:G45"/>
    <mergeCell ref="B46:C46"/>
    <mergeCell ref="F46:G46"/>
    <mergeCell ref="B43:C43"/>
    <mergeCell ref="F43:G43"/>
    <mergeCell ref="B44:C44"/>
    <mergeCell ref="F44:G44"/>
    <mergeCell ref="B41:C41"/>
    <mergeCell ref="F41:G41"/>
    <mergeCell ref="B42:C42"/>
    <mergeCell ref="F42:G42"/>
    <mergeCell ref="A10:I10"/>
    <mergeCell ref="A11:I11"/>
    <mergeCell ref="A12:C12"/>
    <mergeCell ref="A34:C34"/>
    <mergeCell ref="A38:G38"/>
    <mergeCell ref="B40:C40"/>
    <mergeCell ref="F40:G40"/>
    <mergeCell ref="A1:I1"/>
    <mergeCell ref="A2:I2"/>
    <mergeCell ref="A3:I3"/>
    <mergeCell ref="A5:I5"/>
    <mergeCell ref="A9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Normal="100" workbookViewId="0">
      <selection activeCell="G15" sqref="G15"/>
    </sheetView>
  </sheetViews>
  <sheetFormatPr defaultRowHeight="15" outlineLevelCol="1" x14ac:dyDescent="0.25"/>
  <cols>
    <col min="1" max="1" width="4.7109375" style="1" customWidth="1"/>
    <col min="2" max="2" width="48" style="1" customWidth="1"/>
    <col min="3" max="3" width="12.85546875" style="1" customWidth="1"/>
    <col min="4" max="4" width="13.140625" style="1" bestFit="1" customWidth="1"/>
    <col min="5" max="5" width="14.28515625" style="1" customWidth="1"/>
    <col min="6" max="6" width="15.140625" style="1" customWidth="1"/>
    <col min="7" max="7" width="13.425781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4.2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.7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2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ht="16.5" customHeight="1" x14ac:dyDescent="0.25">
      <c r="A7" s="3" t="s">
        <v>2</v>
      </c>
      <c r="E7" s="4" t="s">
        <v>60</v>
      </c>
    </row>
    <row r="8" spans="1:11" s="3" customFormat="1" x14ac:dyDescent="0.25">
      <c r="A8" s="3" t="s">
        <v>3</v>
      </c>
      <c r="E8" s="4" t="s">
        <v>183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634521.48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171860.84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146067.75</v>
      </c>
      <c r="H16" s="40"/>
      <c r="I16" s="40"/>
    </row>
    <row r="17" spans="1:9" s="3" customFormat="1" ht="6.75" customHeight="1" x14ac:dyDescent="0.25"/>
    <row r="18" spans="1:9" s="18" customFormat="1" ht="52.5" customHeight="1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14.25" x14ac:dyDescent="0.2">
      <c r="A19" s="187" t="s">
        <v>14</v>
      </c>
      <c r="B19" s="137" t="s">
        <v>15</v>
      </c>
      <c r="C19" s="180">
        <f>C20+C21+C22+C23</f>
        <v>8.5500000000000007</v>
      </c>
      <c r="D19" s="165">
        <v>359379.6</v>
      </c>
      <c r="E19" s="165">
        <v>339210.99</v>
      </c>
      <c r="F19" s="165">
        <f>D19</f>
        <v>359379.6</v>
      </c>
      <c r="G19" s="166">
        <f t="shared" ref="G19:G28" si="0">E19-D19</f>
        <v>-20168.609999999986</v>
      </c>
      <c r="H19" s="189">
        <f>C19</f>
        <v>8.5500000000000007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129460.72140350877</v>
      </c>
      <c r="E20" s="67">
        <f>E19*I20</f>
        <v>122195.30399999999</v>
      </c>
      <c r="F20" s="67">
        <f>D20</f>
        <v>129460.72140350877</v>
      </c>
      <c r="G20" s="68">
        <f t="shared" si="0"/>
        <v>-7265.4174035087781</v>
      </c>
      <c r="H20" s="71">
        <f t="shared" ref="H20:H23" si="1">C20</f>
        <v>3.08</v>
      </c>
      <c r="I20" s="15">
        <f>H20/H19</f>
        <v>0.36023391812865496</v>
      </c>
    </row>
    <row r="21" spans="1:9" s="3" customFormat="1" x14ac:dyDescent="0.25">
      <c r="A21" s="8" t="s">
        <v>18</v>
      </c>
      <c r="B21" s="9" t="s">
        <v>19</v>
      </c>
      <c r="C21" s="157">
        <v>1.51</v>
      </c>
      <c r="D21" s="67">
        <f>D19*I21</f>
        <v>63469.379649122799</v>
      </c>
      <c r="E21" s="67">
        <f>E19*I21</f>
        <v>59907.437999999995</v>
      </c>
      <c r="F21" s="67">
        <f>D21</f>
        <v>63469.379649122799</v>
      </c>
      <c r="G21" s="68">
        <f t="shared" si="0"/>
        <v>-3561.9416491228039</v>
      </c>
      <c r="H21" s="71">
        <f t="shared" si="1"/>
        <v>1.51</v>
      </c>
      <c r="I21" s="15">
        <f>H21/H19</f>
        <v>0.17660818713450291</v>
      </c>
    </row>
    <row r="22" spans="1:9" s="3" customFormat="1" x14ac:dyDescent="0.25">
      <c r="A22" s="8" t="s">
        <v>20</v>
      </c>
      <c r="B22" s="9" t="s">
        <v>21</v>
      </c>
      <c r="C22" s="157">
        <v>1.36</v>
      </c>
      <c r="D22" s="67">
        <f>D19*I22</f>
        <v>57164.474385964902</v>
      </c>
      <c r="E22" s="67">
        <f>E19*I22</f>
        <v>53956.367999999995</v>
      </c>
      <c r="F22" s="67">
        <f>D22</f>
        <v>57164.474385964902</v>
      </c>
      <c r="G22" s="68">
        <f t="shared" si="0"/>
        <v>-3208.1063859649075</v>
      </c>
      <c r="H22" s="71">
        <f t="shared" si="1"/>
        <v>1.36</v>
      </c>
      <c r="I22" s="15">
        <f>H22/H19</f>
        <v>0.1590643274853801</v>
      </c>
    </row>
    <row r="23" spans="1:9" s="3" customFormat="1" x14ac:dyDescent="0.25">
      <c r="A23" s="8" t="s">
        <v>22</v>
      </c>
      <c r="B23" s="9" t="s">
        <v>23</v>
      </c>
      <c r="C23" s="152">
        <v>2.6</v>
      </c>
      <c r="D23" s="67">
        <f>D19*I23</f>
        <v>109285.02456140349</v>
      </c>
      <c r="E23" s="67">
        <f>E19*I23</f>
        <v>103151.87999999999</v>
      </c>
      <c r="F23" s="67">
        <f>D23</f>
        <v>109285.02456140349</v>
      </c>
      <c r="G23" s="68">
        <f t="shared" si="0"/>
        <v>-6133.1445614035038</v>
      </c>
      <c r="H23" s="71">
        <f t="shared" si="1"/>
        <v>2.6</v>
      </c>
      <c r="I23" s="15">
        <f>H23/H19</f>
        <v>0.30409356725146197</v>
      </c>
    </row>
    <row r="24" spans="1:9" s="186" customFormat="1" ht="14.25" x14ac:dyDescent="0.2">
      <c r="A24" s="137" t="s">
        <v>25</v>
      </c>
      <c r="B24" s="170" t="s">
        <v>26</v>
      </c>
      <c r="C24" s="20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201">
        <v>4.5999999999999996</v>
      </c>
      <c r="D25" s="166">
        <v>193349.04</v>
      </c>
      <c r="E25" s="166">
        <v>182199.6</v>
      </c>
      <c r="F25" s="166">
        <f>D25</f>
        <v>193349.04</v>
      </c>
      <c r="G25" s="166">
        <f t="shared" si="0"/>
        <v>-11149.440000000002</v>
      </c>
    </row>
    <row r="26" spans="1:9" s="186" customFormat="1" ht="14.25" x14ac:dyDescent="0.2">
      <c r="A26" s="137" t="s">
        <v>29</v>
      </c>
      <c r="B26" s="170" t="s">
        <v>248</v>
      </c>
      <c r="C26" s="20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s="186" customFormat="1" ht="14.25" x14ac:dyDescent="0.2">
      <c r="A27" s="137" t="s">
        <v>31</v>
      </c>
      <c r="B27" s="170" t="s">
        <v>132</v>
      </c>
      <c r="C27" s="180">
        <v>1.65</v>
      </c>
      <c r="D27" s="166">
        <v>69356.039999999994</v>
      </c>
      <c r="E27" s="166">
        <v>65796.52</v>
      </c>
      <c r="F27" s="172">
        <f>F43</f>
        <v>20256.925199999998</v>
      </c>
      <c r="G27" s="166">
        <f t="shared" si="0"/>
        <v>-3559.5199999999895</v>
      </c>
    </row>
    <row r="28" spans="1:9" s="186" customFormat="1" ht="14.25" x14ac:dyDescent="0.2">
      <c r="A28" s="137" t="s">
        <v>33</v>
      </c>
      <c r="B28" s="36" t="s">
        <v>34</v>
      </c>
      <c r="C28" s="202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s="186" customFormat="1" ht="14.25" x14ac:dyDescent="0.2">
      <c r="A29" s="137" t="s">
        <v>35</v>
      </c>
      <c r="B29" s="36" t="s">
        <v>36</v>
      </c>
      <c r="C29" s="201"/>
      <c r="D29" s="166">
        <f>SUM(D30:D33)</f>
        <v>1770348.82</v>
      </c>
      <c r="E29" s="166">
        <f>SUM(E30:E33)</f>
        <v>1649562.58</v>
      </c>
      <c r="F29" s="166">
        <f>SUM(F30:F33)</f>
        <v>1770348.82</v>
      </c>
      <c r="G29" s="166">
        <f>SUM(G30:G33)</f>
        <v>-120786.24000000002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8055.78</v>
      </c>
      <c r="E30" s="68">
        <v>7773.56</v>
      </c>
      <c r="F30" s="68">
        <f>D30</f>
        <v>8055.78</v>
      </c>
      <c r="G30" s="68">
        <f>E30-D30</f>
        <v>-282.21999999999935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496126.79</v>
      </c>
      <c r="E31" s="68">
        <v>436660.8</v>
      </c>
      <c r="F31" s="68">
        <f>D31</f>
        <v>496126.79</v>
      </c>
      <c r="G31" s="68">
        <f>E31-D31</f>
        <v>-59465.989999999991</v>
      </c>
    </row>
    <row r="32" spans="1:9" ht="14.25" customHeight="1" x14ac:dyDescent="0.25">
      <c r="A32" s="9" t="s">
        <v>42</v>
      </c>
      <c r="B32" s="9" t="s">
        <v>40</v>
      </c>
      <c r="C32" s="158">
        <v>0</v>
      </c>
      <c r="D32" s="68">
        <v>0</v>
      </c>
      <c r="E32" s="68">
        <v>0</v>
      </c>
      <c r="F32" s="68">
        <f>D32</f>
        <v>0</v>
      </c>
      <c r="G32" s="68">
        <f>E32-D32</f>
        <v>0</v>
      </c>
    </row>
    <row r="33" spans="1:10" ht="15" customHeight="1" x14ac:dyDescent="0.25">
      <c r="A33" s="9" t="s">
        <v>41</v>
      </c>
      <c r="B33" s="9" t="s">
        <v>43</v>
      </c>
      <c r="C33" s="152" t="s">
        <v>247</v>
      </c>
      <c r="D33" s="68">
        <v>1266166.25</v>
      </c>
      <c r="E33" s="68">
        <v>1205128.22</v>
      </c>
      <c r="F33" s="68">
        <f>D33</f>
        <v>1266166.25</v>
      </c>
      <c r="G33" s="68">
        <f>E33-D33</f>
        <v>-61038.030000000028</v>
      </c>
    </row>
    <row r="34" spans="1:10" s="20" customFormat="1" ht="9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325" t="s">
        <v>241</v>
      </c>
      <c r="B35" s="326"/>
      <c r="C35" s="326"/>
      <c r="D35" s="73">
        <f>D13+D19+D24+D25+D26+D27+D28+D29-E19-E24-E25-E26-E27-E28-E29</f>
        <v>790185.29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142" t="s">
        <v>242</v>
      </c>
      <c r="B37" s="143"/>
      <c r="C37" s="143"/>
      <c r="D37" s="44"/>
      <c r="E37" s="45"/>
      <c r="F37" s="45"/>
      <c r="G37" s="38">
        <f>G15+E28-F28</f>
        <v>171860.84</v>
      </c>
      <c r="H37" s="40"/>
      <c r="I37" s="40"/>
    </row>
    <row r="38" spans="1:10" s="15" customFormat="1" ht="15.75" thickBot="1" x14ac:dyDescent="0.3">
      <c r="A38" s="142" t="s">
        <v>243</v>
      </c>
      <c r="B38" s="143"/>
      <c r="C38" s="143"/>
      <c r="D38" s="44"/>
      <c r="E38" s="45"/>
      <c r="F38" s="45"/>
      <c r="G38" s="38">
        <f>G16+E27-F27</f>
        <v>191607.34480000002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24" customHeight="1" x14ac:dyDescent="0.25">
      <c r="A40" s="289" t="s">
        <v>44</v>
      </c>
      <c r="B40" s="289"/>
      <c r="C40" s="289"/>
      <c r="D40" s="289"/>
      <c r="E40" s="289"/>
      <c r="F40" s="289"/>
      <c r="G40" s="289"/>
      <c r="H40" s="289"/>
      <c r="I40" s="289"/>
    </row>
    <row r="41" spans="1:10" ht="8.25" customHeight="1" x14ac:dyDescent="0.25"/>
    <row r="42" spans="1:10" s="7" customFormat="1" ht="28.5" customHeight="1" x14ac:dyDescent="0.25">
      <c r="A42" s="5" t="s">
        <v>11</v>
      </c>
      <c r="B42" s="191" t="s">
        <v>45</v>
      </c>
      <c r="C42" s="192"/>
      <c r="D42" s="5" t="s">
        <v>254</v>
      </c>
      <c r="E42" s="5" t="s">
        <v>253</v>
      </c>
      <c r="F42" s="306" t="s">
        <v>46</v>
      </c>
      <c r="G42" s="312"/>
    </row>
    <row r="43" spans="1:10" s="12" customFormat="1" ht="14.25" customHeight="1" x14ac:dyDescent="0.25">
      <c r="A43" s="11" t="s">
        <v>47</v>
      </c>
      <c r="B43" s="308" t="s">
        <v>127</v>
      </c>
      <c r="C43" s="309"/>
      <c r="D43" s="194"/>
      <c r="E43" s="194"/>
      <c r="F43" s="316">
        <f>SUM(F44:L48)</f>
        <v>20256.925199999998</v>
      </c>
      <c r="G43" s="312"/>
    </row>
    <row r="44" spans="1:10" ht="14.25" customHeight="1" x14ac:dyDescent="0.25">
      <c r="A44" s="9" t="s">
        <v>16</v>
      </c>
      <c r="B44" s="298" t="s">
        <v>277</v>
      </c>
      <c r="C44" s="299"/>
      <c r="D44" s="193" t="s">
        <v>262</v>
      </c>
      <c r="E44" s="193">
        <v>10</v>
      </c>
      <c r="F44" s="315">
        <v>10595.44</v>
      </c>
      <c r="G44" s="315"/>
    </row>
    <row r="45" spans="1:10" ht="14.25" customHeight="1" x14ac:dyDescent="0.25">
      <c r="A45" s="9" t="s">
        <v>18</v>
      </c>
      <c r="B45" s="298" t="s">
        <v>278</v>
      </c>
      <c r="C45" s="299"/>
      <c r="D45" s="193" t="s">
        <v>255</v>
      </c>
      <c r="E45" s="193">
        <v>3</v>
      </c>
      <c r="F45" s="315">
        <v>3821.02</v>
      </c>
      <c r="G45" s="315"/>
    </row>
    <row r="46" spans="1:10" ht="14.25" customHeight="1" x14ac:dyDescent="0.25">
      <c r="A46" s="9" t="s">
        <v>20</v>
      </c>
      <c r="B46" s="298" t="s">
        <v>279</v>
      </c>
      <c r="C46" s="299"/>
      <c r="D46" s="193" t="s">
        <v>280</v>
      </c>
      <c r="E46" s="193">
        <v>1</v>
      </c>
      <c r="F46" s="315">
        <v>5100</v>
      </c>
      <c r="G46" s="315"/>
    </row>
    <row r="47" spans="1:10" ht="14.25" customHeight="1" x14ac:dyDescent="0.25">
      <c r="A47" s="9" t="s">
        <v>22</v>
      </c>
      <c r="B47" s="298" t="s">
        <v>555</v>
      </c>
      <c r="C47" s="299"/>
      <c r="D47" s="193" t="s">
        <v>280</v>
      </c>
      <c r="E47" s="193">
        <v>1</v>
      </c>
      <c r="F47" s="315">
        <v>82.5</v>
      </c>
      <c r="G47" s="315"/>
    </row>
    <row r="48" spans="1:10" s="48" customFormat="1" ht="14.25" customHeight="1" x14ac:dyDescent="0.25">
      <c r="A48" s="9" t="s">
        <v>24</v>
      </c>
      <c r="B48" s="197" t="s">
        <v>533</v>
      </c>
      <c r="C48" s="198"/>
      <c r="D48" s="212"/>
      <c r="E48" s="212"/>
      <c r="F48" s="317">
        <f>E27*1%</f>
        <v>657.9652000000001</v>
      </c>
      <c r="G48" s="317"/>
    </row>
    <row r="49" spans="1:7" ht="8.25" customHeight="1" x14ac:dyDescent="0.25">
      <c r="B49" s="13"/>
      <c r="C49" s="13"/>
      <c r="D49" s="13"/>
      <c r="E49" s="13"/>
    </row>
    <row r="50" spans="1:7" s="3" customFormat="1" x14ac:dyDescent="0.25">
      <c r="A50" s="3" t="s">
        <v>55</v>
      </c>
      <c r="C50" s="3" t="s">
        <v>49</v>
      </c>
      <c r="F50" s="3" t="s">
        <v>102</v>
      </c>
    </row>
    <row r="51" spans="1:7" s="3" customFormat="1" ht="13.5" customHeight="1" x14ac:dyDescent="0.25">
      <c r="F51" s="4" t="s">
        <v>265</v>
      </c>
    </row>
    <row r="52" spans="1:7" s="3" customFormat="1" x14ac:dyDescent="0.25">
      <c r="A52" s="3" t="s">
        <v>50</v>
      </c>
    </row>
    <row r="53" spans="1:7" s="3" customFormat="1" x14ac:dyDescent="0.25">
      <c r="C53" s="14" t="s">
        <v>51</v>
      </c>
      <c r="E53" s="14"/>
      <c r="F53" s="14"/>
      <c r="G53" s="14"/>
    </row>
    <row r="54" spans="1:7" s="3" customFormat="1" x14ac:dyDescent="0.25"/>
    <row r="55" spans="1:7" s="3" customFormat="1" x14ac:dyDescent="0.25"/>
  </sheetData>
  <mergeCells count="22">
    <mergeCell ref="A12:I12"/>
    <mergeCell ref="A40:I40"/>
    <mergeCell ref="A11:I11"/>
    <mergeCell ref="A1:I1"/>
    <mergeCell ref="A2:I2"/>
    <mergeCell ref="A5:I5"/>
    <mergeCell ref="A10:I10"/>
    <mergeCell ref="A3:K3"/>
    <mergeCell ref="F42:G42"/>
    <mergeCell ref="F43:G43"/>
    <mergeCell ref="A13:C13"/>
    <mergeCell ref="A35:C35"/>
    <mergeCell ref="B43:C43"/>
    <mergeCell ref="F48:G48"/>
    <mergeCell ref="F44:G44"/>
    <mergeCell ref="F45:G45"/>
    <mergeCell ref="F46:G46"/>
    <mergeCell ref="B44:C44"/>
    <mergeCell ref="B45:C45"/>
    <mergeCell ref="B46:C46"/>
    <mergeCell ref="B47:C47"/>
    <mergeCell ref="F47:G47"/>
  </mergeCells>
  <phoneticPr fontId="18" type="noConversion"/>
  <pageMargins left="0" right="0" top="0" bottom="0" header="0.31496062992125984" footer="0.31496062992125984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F43" sqref="F43"/>
    </sheetView>
  </sheetViews>
  <sheetFormatPr defaultRowHeight="12.75" outlineLevelCol="1" x14ac:dyDescent="0.2"/>
  <cols>
    <col min="1" max="1" width="5.5703125" style="23" customWidth="1"/>
    <col min="2" max="2" width="51.85546875" style="23" customWidth="1"/>
    <col min="3" max="3" width="15.7109375" style="23" customWidth="1"/>
    <col min="4" max="4" width="14.85546875" style="23" customWidth="1"/>
    <col min="5" max="5" width="13.28515625" style="23" customWidth="1"/>
    <col min="6" max="6" width="12.85546875" style="23" customWidth="1"/>
    <col min="7" max="7" width="14.5703125" style="23" customWidth="1"/>
    <col min="8" max="9" width="11.5703125" style="23" hidden="1" customWidth="1" outlineLevel="1"/>
    <col min="10" max="10" width="15.85546875" style="23" customWidth="1" collapsed="1"/>
    <col min="11" max="16384" width="9.140625" style="23"/>
  </cols>
  <sheetData>
    <row r="1" spans="1:9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</row>
    <row r="2" spans="1:9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</row>
    <row r="3" spans="1:9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</row>
    <row r="4" spans="1:9" ht="9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</row>
    <row r="5" spans="1:9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</row>
    <row r="7" spans="1:9" s="25" customFormat="1" ht="16.5" customHeight="1" x14ac:dyDescent="0.2">
      <c r="A7" s="25" t="s">
        <v>2</v>
      </c>
      <c r="F7" s="26" t="s">
        <v>490</v>
      </c>
      <c r="H7" s="26"/>
    </row>
    <row r="8" spans="1:9" s="25" customFormat="1" x14ac:dyDescent="0.2">
      <c r="A8" s="25" t="s">
        <v>3</v>
      </c>
      <c r="F8" s="26" t="s">
        <v>491</v>
      </c>
      <c r="H8" s="26"/>
    </row>
    <row r="9" spans="1:9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</row>
    <row r="10" spans="1:9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</row>
    <row r="11" spans="1:9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</row>
    <row r="12" spans="1:9" s="15" customFormat="1" ht="16.5" customHeight="1" thickBot="1" x14ac:dyDescent="0.3">
      <c r="A12" s="287" t="s">
        <v>450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9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9" s="15" customFormat="1" ht="15.75" thickBot="1" x14ac:dyDescent="0.3">
      <c r="A14" s="266" t="s">
        <v>451</v>
      </c>
      <c r="B14" s="267"/>
      <c r="C14" s="267"/>
      <c r="D14" s="44"/>
      <c r="E14" s="45"/>
      <c r="F14" s="45"/>
      <c r="G14" s="73">
        <v>0</v>
      </c>
      <c r="H14" s="40"/>
      <c r="I14" s="40"/>
    </row>
    <row r="15" spans="1:9" s="25" customFormat="1" ht="6.75" customHeight="1" x14ac:dyDescent="0.2"/>
    <row r="16" spans="1:9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0" s="25" customFormat="1" ht="14.25" x14ac:dyDescent="0.2">
      <c r="A17" s="187" t="s">
        <v>14</v>
      </c>
      <c r="B17" s="137" t="s">
        <v>15</v>
      </c>
      <c r="C17" s="272">
        <f>C18+C19+C20+C21</f>
        <v>7.5600000000000005</v>
      </c>
      <c r="D17" s="165">
        <v>222303.18</v>
      </c>
      <c r="E17" s="165">
        <v>215276.64</v>
      </c>
      <c r="F17" s="165">
        <f>D17</f>
        <v>222303.18</v>
      </c>
      <c r="G17" s="166">
        <f>E17-D17</f>
        <v>-7026.539999999979</v>
      </c>
      <c r="H17" s="70">
        <f>C17</f>
        <v>7.5600000000000005</v>
      </c>
      <c r="I17" s="168"/>
      <c r="J17" s="63"/>
    </row>
    <row r="18" spans="1:10" s="25" customFormat="1" ht="15" x14ac:dyDescent="0.25">
      <c r="A18" s="8" t="s">
        <v>16</v>
      </c>
      <c r="B18" s="9" t="s">
        <v>17</v>
      </c>
      <c r="C18" s="92">
        <v>2.62</v>
      </c>
      <c r="D18" s="67">
        <f>D17*I18</f>
        <v>77041.578253968255</v>
      </c>
      <c r="E18" s="67">
        <f>E17*I18</f>
        <v>74606.454603174614</v>
      </c>
      <c r="F18" s="67">
        <f>D18</f>
        <v>77041.578253968255</v>
      </c>
      <c r="G18" s="68">
        <f t="shared" ref="G18:G26" si="0">E18-D18</f>
        <v>-2435.123650793641</v>
      </c>
      <c r="H18" s="70">
        <f t="shared" ref="H18:H21" si="1">C18</f>
        <v>2.62</v>
      </c>
      <c r="I18" s="32">
        <f>H18/H17</f>
        <v>0.34656084656084657</v>
      </c>
    </row>
    <row r="19" spans="1:10" s="25" customFormat="1" ht="15" x14ac:dyDescent="0.25">
      <c r="A19" s="8" t="s">
        <v>18</v>
      </c>
      <c r="B19" s="9" t="s">
        <v>19</v>
      </c>
      <c r="C19" s="92">
        <v>1.33</v>
      </c>
      <c r="D19" s="67">
        <f>D17*I19</f>
        <v>39108.892777777779</v>
      </c>
      <c r="E19" s="67">
        <f>E17*I19</f>
        <v>37872.742222222223</v>
      </c>
      <c r="F19" s="67">
        <f>D19</f>
        <v>39108.892777777779</v>
      </c>
      <c r="G19" s="68">
        <f t="shared" si="0"/>
        <v>-1236.1505555555559</v>
      </c>
      <c r="H19" s="70">
        <f t="shared" si="1"/>
        <v>1.33</v>
      </c>
      <c r="I19" s="32">
        <f>H19/H17</f>
        <v>0.17592592592592593</v>
      </c>
    </row>
    <row r="20" spans="1:10" s="25" customFormat="1" ht="15" x14ac:dyDescent="0.25">
      <c r="A20" s="8" t="s">
        <v>20</v>
      </c>
      <c r="B20" s="9" t="s">
        <v>21</v>
      </c>
      <c r="C20" s="92">
        <v>1.22</v>
      </c>
      <c r="D20" s="67">
        <f>D17*I20</f>
        <v>35874.322698412696</v>
      </c>
      <c r="E20" s="67">
        <f>E17*I20</f>
        <v>34740.410158730156</v>
      </c>
      <c r="F20" s="67">
        <f>D20</f>
        <v>35874.322698412696</v>
      </c>
      <c r="G20" s="68">
        <f t="shared" si="0"/>
        <v>-1133.9125396825402</v>
      </c>
      <c r="H20" s="70">
        <f t="shared" si="1"/>
        <v>1.22</v>
      </c>
      <c r="I20" s="32">
        <f>H20/H17</f>
        <v>0.16137566137566137</v>
      </c>
    </row>
    <row r="21" spans="1:10" s="25" customFormat="1" ht="15" x14ac:dyDescent="0.25">
      <c r="A21" s="8" t="s">
        <v>22</v>
      </c>
      <c r="B21" s="9" t="s">
        <v>23</v>
      </c>
      <c r="C21" s="92">
        <v>2.39</v>
      </c>
      <c r="D21" s="67">
        <f>D17*I21</f>
        <v>70278.386269841256</v>
      </c>
      <c r="E21" s="67">
        <f>E17*I21</f>
        <v>68057.033015873007</v>
      </c>
      <c r="F21" s="67">
        <f>D21</f>
        <v>70278.386269841256</v>
      </c>
      <c r="G21" s="68">
        <f t="shared" si="0"/>
        <v>-2221.3532539682492</v>
      </c>
      <c r="H21" s="70">
        <f t="shared" si="1"/>
        <v>2.39</v>
      </c>
      <c r="I21" s="32">
        <f>H21/H17</f>
        <v>0.31613756613756611</v>
      </c>
    </row>
    <row r="22" spans="1:10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</row>
    <row r="23" spans="1:10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135263.92000000001</v>
      </c>
      <c r="E23" s="172">
        <v>131813.4</v>
      </c>
      <c r="F23" s="172">
        <f>D23</f>
        <v>135263.92000000001</v>
      </c>
      <c r="G23" s="172">
        <f t="shared" si="0"/>
        <v>-3450.5200000000186</v>
      </c>
      <c r="H23" s="173"/>
      <c r="I23" s="173"/>
    </row>
    <row r="24" spans="1:10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</row>
    <row r="25" spans="1:10" s="72" customFormat="1" ht="14.25" x14ac:dyDescent="0.2">
      <c r="A25" s="227" t="s">
        <v>31</v>
      </c>
      <c r="B25" s="227" t="s">
        <v>132</v>
      </c>
      <c r="C25" s="262">
        <v>1</v>
      </c>
      <c r="D25" s="172">
        <v>29405.200000000001</v>
      </c>
      <c r="E25" s="172">
        <v>28625.32</v>
      </c>
      <c r="F25" s="172">
        <f>F40</f>
        <v>842.25319999999999</v>
      </c>
      <c r="G25" s="172">
        <f>E25-D25</f>
        <v>-779.88000000000102</v>
      </c>
      <c r="H25" s="173"/>
      <c r="I25" s="173"/>
    </row>
    <row r="26" spans="1:10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f>D26</f>
        <v>0</v>
      </c>
      <c r="G26" s="166">
        <f t="shared" si="0"/>
        <v>0</v>
      </c>
      <c r="H26" s="37"/>
      <c r="I26" s="37"/>
    </row>
    <row r="27" spans="1:10" ht="14.25" x14ac:dyDescent="0.2">
      <c r="A27" s="137" t="s">
        <v>35</v>
      </c>
      <c r="B27" s="137" t="s">
        <v>36</v>
      </c>
      <c r="C27" s="166">
        <v>0</v>
      </c>
      <c r="D27" s="166">
        <f>SUM(D28:D31)</f>
        <v>1095781.2</v>
      </c>
      <c r="E27" s="166">
        <f>SUM(E28:E31)</f>
        <v>1051652.7</v>
      </c>
      <c r="F27" s="166">
        <f>SUM(F28:F31)</f>
        <v>1095781.2</v>
      </c>
      <c r="G27" s="166">
        <f>SUM(G28:G31)</f>
        <v>-44128.499999999993</v>
      </c>
      <c r="H27" s="37"/>
      <c r="I27" s="37"/>
    </row>
    <row r="28" spans="1:10" ht="15" x14ac:dyDescent="0.25">
      <c r="A28" s="9" t="s">
        <v>37</v>
      </c>
      <c r="B28" s="9" t="s">
        <v>263</v>
      </c>
      <c r="C28" s="255" t="s">
        <v>245</v>
      </c>
      <c r="D28" s="68">
        <v>7810.65</v>
      </c>
      <c r="E28" s="68">
        <v>7606.11</v>
      </c>
      <c r="F28" s="68">
        <f>D28</f>
        <v>7810.65</v>
      </c>
      <c r="G28" s="68">
        <f>E28-D28</f>
        <v>-204.53999999999996</v>
      </c>
    </row>
    <row r="29" spans="1:10" ht="15" x14ac:dyDescent="0.25">
      <c r="A29" s="9" t="s">
        <v>39</v>
      </c>
      <c r="B29" s="9" t="s">
        <v>171</v>
      </c>
      <c r="C29" s="255" t="s">
        <v>246</v>
      </c>
      <c r="D29" s="68">
        <v>257928.79</v>
      </c>
      <c r="E29" s="68">
        <v>249023.05</v>
      </c>
      <c r="F29" s="68">
        <f>D29</f>
        <v>257928.79</v>
      </c>
      <c r="G29" s="68">
        <f>E29-D29</f>
        <v>-8905.7400000000198</v>
      </c>
    </row>
    <row r="30" spans="1:10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0" ht="15" x14ac:dyDescent="0.25">
      <c r="A31" s="9" t="s">
        <v>41</v>
      </c>
      <c r="B31" s="9" t="s">
        <v>43</v>
      </c>
      <c r="C31" s="255" t="s">
        <v>247</v>
      </c>
      <c r="D31" s="68">
        <v>830041.76</v>
      </c>
      <c r="E31" s="68">
        <v>795023.54</v>
      </c>
      <c r="F31" s="68">
        <f>D31</f>
        <v>830041.76</v>
      </c>
      <c r="G31" s="68">
        <f>E31-D31</f>
        <v>-35018.219999999972</v>
      </c>
    </row>
    <row r="32" spans="1:10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9" s="15" customFormat="1" ht="15.75" thickBot="1" x14ac:dyDescent="0.3">
      <c r="A33" s="287" t="s">
        <v>241</v>
      </c>
      <c r="B33" s="288"/>
      <c r="C33" s="288"/>
      <c r="D33" s="73">
        <f>D12+D17+D22+D23+D24+D25+D26+D27-E17-E22-E23-E24-E25-E26-E27</f>
        <v>55385.439999999944</v>
      </c>
      <c r="E33" s="39"/>
      <c r="F33" s="39"/>
      <c r="G33" s="39"/>
      <c r="H33" s="40"/>
      <c r="I33" s="40"/>
    </row>
    <row r="34" spans="1:9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9" s="15" customFormat="1" ht="15.75" thickBot="1" x14ac:dyDescent="0.3">
      <c r="A35" s="266" t="s">
        <v>243</v>
      </c>
      <c r="B35" s="267"/>
      <c r="C35" s="267"/>
      <c r="D35" s="44"/>
      <c r="E35" s="45"/>
      <c r="F35" s="45"/>
      <c r="G35" s="38">
        <f>G14+E25-F25</f>
        <v>27783.066800000001</v>
      </c>
      <c r="H35" s="40"/>
      <c r="I35" s="40"/>
    </row>
    <row r="36" spans="1:9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</row>
    <row r="37" spans="1:9" s="20" customFormat="1" ht="27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</row>
    <row r="39" spans="1:9" ht="28.5" x14ac:dyDescent="0.2">
      <c r="A39" s="268" t="s">
        <v>11</v>
      </c>
      <c r="B39" s="306" t="s">
        <v>45</v>
      </c>
      <c r="C39" s="307"/>
      <c r="D39" s="268" t="s">
        <v>254</v>
      </c>
      <c r="E39" s="268" t="s">
        <v>253</v>
      </c>
      <c r="F39" s="306" t="s">
        <v>46</v>
      </c>
      <c r="G39" s="307"/>
    </row>
    <row r="40" spans="1:9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SUM(F41:G42)</f>
        <v>842.25319999999999</v>
      </c>
      <c r="G40" s="312"/>
    </row>
    <row r="41" spans="1:9" s="12" customFormat="1" ht="15" x14ac:dyDescent="0.25">
      <c r="A41" s="9" t="s">
        <v>16</v>
      </c>
      <c r="B41" s="298" t="s">
        <v>492</v>
      </c>
      <c r="C41" s="299"/>
      <c r="D41" s="177" t="s">
        <v>262</v>
      </c>
      <c r="E41" s="177">
        <v>2</v>
      </c>
      <c r="F41" s="329">
        <v>556</v>
      </c>
      <c r="G41" s="330"/>
    </row>
    <row r="42" spans="1:9" s="25" customFormat="1" ht="15" x14ac:dyDescent="0.25">
      <c r="A42" s="9" t="s">
        <v>18</v>
      </c>
      <c r="B42" s="327" t="s">
        <v>533</v>
      </c>
      <c r="C42" s="328"/>
      <c r="D42" s="246"/>
      <c r="E42" s="246"/>
      <c r="F42" s="317">
        <f>E25*1%</f>
        <v>286.25319999999999</v>
      </c>
      <c r="G42" s="317"/>
    </row>
    <row r="43" spans="1:9" s="3" customFormat="1" ht="15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s="25" customFormat="1" ht="15" x14ac:dyDescent="0.25">
      <c r="A44" s="3" t="s">
        <v>55</v>
      </c>
      <c r="B44" s="3"/>
      <c r="C44" s="101" t="s">
        <v>49</v>
      </c>
      <c r="D44" s="3"/>
      <c r="E44" s="3"/>
      <c r="F44" s="3" t="s">
        <v>102</v>
      </c>
      <c r="G44" s="3"/>
      <c r="H44" s="3"/>
      <c r="I44" s="3"/>
    </row>
    <row r="45" spans="1:9" s="25" customFormat="1" ht="15" x14ac:dyDescent="0.25">
      <c r="A45" s="3"/>
      <c r="B45" s="3"/>
      <c r="C45" s="101"/>
      <c r="D45" s="3"/>
      <c r="E45" s="3"/>
      <c r="F45" s="4" t="s">
        <v>265</v>
      </c>
      <c r="G45" s="3"/>
    </row>
    <row r="46" spans="1:9" s="25" customFormat="1" ht="15" x14ac:dyDescent="0.25">
      <c r="A46" s="3" t="s">
        <v>50</v>
      </c>
      <c r="B46" s="3"/>
      <c r="C46" s="101"/>
      <c r="D46" s="3"/>
      <c r="E46" s="3"/>
      <c r="F46" s="3"/>
      <c r="G46" s="3"/>
      <c r="H46" s="34"/>
      <c r="I46" s="34"/>
    </row>
    <row r="47" spans="1:9" s="25" customFormat="1" ht="15" x14ac:dyDescent="0.25">
      <c r="A47" s="3"/>
      <c r="B47" s="3"/>
      <c r="C47" s="106" t="s">
        <v>51</v>
      </c>
      <c r="D47" s="3"/>
      <c r="E47" s="14"/>
      <c r="F47" s="14"/>
      <c r="G47" s="14"/>
    </row>
    <row r="48" spans="1:9" x14ac:dyDescent="0.2">
      <c r="A48" s="25"/>
      <c r="B48" s="25"/>
      <c r="C48" s="25"/>
      <c r="D48" s="25"/>
      <c r="E48" s="25"/>
      <c r="F48" s="25"/>
      <c r="G48" s="25"/>
      <c r="H48" s="25"/>
      <c r="I48" s="25"/>
    </row>
  </sheetData>
  <mergeCells count="18">
    <mergeCell ref="B42:C42"/>
    <mergeCell ref="F42:G42"/>
    <mergeCell ref="B40:C40"/>
    <mergeCell ref="F40:G40"/>
    <mergeCell ref="B41:C41"/>
    <mergeCell ref="F41:G41"/>
    <mergeCell ref="A11:I11"/>
    <mergeCell ref="A12:C12"/>
    <mergeCell ref="A33:C33"/>
    <mergeCell ref="A37:I37"/>
    <mergeCell ref="B39:C39"/>
    <mergeCell ref="F39:G39"/>
    <mergeCell ref="A10:I10"/>
    <mergeCell ref="A1:I1"/>
    <mergeCell ref="A2:I2"/>
    <mergeCell ref="A3:I3"/>
    <mergeCell ref="A5:I5"/>
    <mergeCell ref="A9:I9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workbookViewId="0">
      <selection activeCell="F25" sqref="F25"/>
    </sheetView>
  </sheetViews>
  <sheetFormatPr defaultRowHeight="12.75" outlineLevelCol="1" x14ac:dyDescent="0.2"/>
  <cols>
    <col min="1" max="1" width="6" style="23" customWidth="1"/>
    <col min="2" max="2" width="48.140625" style="23" customWidth="1"/>
    <col min="3" max="3" width="14" style="23" customWidth="1"/>
    <col min="4" max="4" width="14.85546875" style="23" customWidth="1"/>
    <col min="5" max="6" width="13.285156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customWidth="1" collapsed="1"/>
    <col min="12" max="12" width="9.140625" style="23"/>
    <col min="13" max="13" width="10" style="23" bestFit="1" customWidth="1"/>
    <col min="14" max="14" width="15.85546875" style="23" customWidth="1"/>
    <col min="15" max="16384" width="9.140625" style="23"/>
  </cols>
  <sheetData>
    <row r="1" spans="1:11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1" s="25" customFormat="1" ht="16.5" customHeight="1" x14ac:dyDescent="0.2">
      <c r="A7" s="25" t="s">
        <v>2</v>
      </c>
      <c r="F7" s="26" t="s">
        <v>497</v>
      </c>
      <c r="H7" s="26"/>
    </row>
    <row r="8" spans="1:11" s="25" customFormat="1" x14ac:dyDescent="0.2">
      <c r="A8" s="25" t="s">
        <v>3</v>
      </c>
      <c r="F8" s="26" t="s">
        <v>498</v>
      </c>
      <c r="H8" s="26"/>
    </row>
    <row r="9" spans="1:11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s="15" customFormat="1" ht="16.5" customHeight="1" thickBot="1" x14ac:dyDescent="0.3">
      <c r="A12" s="287" t="s">
        <v>499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266" t="s">
        <v>451</v>
      </c>
      <c r="B14" s="267"/>
      <c r="C14" s="267"/>
      <c r="D14" s="44"/>
      <c r="E14" s="45"/>
      <c r="F14" s="45"/>
      <c r="G14" s="73">
        <v>0</v>
      </c>
      <c r="H14" s="40"/>
      <c r="I14" s="40"/>
    </row>
    <row r="15" spans="1:11" s="25" customFormat="1" ht="6.75" customHeight="1" x14ac:dyDescent="0.2"/>
    <row r="16" spans="1:11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4" s="25" customFormat="1" ht="14.25" x14ac:dyDescent="0.2">
      <c r="A17" s="187" t="s">
        <v>14</v>
      </c>
      <c r="B17" s="137" t="s">
        <v>15</v>
      </c>
      <c r="C17" s="201">
        <f>C18+C19+C20+C21</f>
        <v>8.9599999999999991</v>
      </c>
      <c r="D17" s="165">
        <v>679977.81</v>
      </c>
      <c r="E17" s="165">
        <v>673905.99</v>
      </c>
      <c r="F17" s="165">
        <f t="shared" ref="F17:F24" si="0">D17</f>
        <v>679977.81</v>
      </c>
      <c r="G17" s="166">
        <f>E17-D17</f>
        <v>-6071.8200000000652</v>
      </c>
      <c r="H17" s="70">
        <f>C17</f>
        <v>8.9599999999999991</v>
      </c>
      <c r="I17" s="168"/>
      <c r="J17" s="168"/>
      <c r="K17" s="168"/>
      <c r="M17" s="70"/>
      <c r="N17" s="63"/>
    </row>
    <row r="18" spans="1:14" s="25" customFormat="1" ht="15" x14ac:dyDescent="0.25">
      <c r="A18" s="8" t="s">
        <v>16</v>
      </c>
      <c r="B18" s="9" t="s">
        <v>17</v>
      </c>
      <c r="C18" s="92">
        <v>3.08</v>
      </c>
      <c r="D18" s="67">
        <f>D17*I18</f>
        <v>233742.37218750006</v>
      </c>
      <c r="E18" s="67">
        <f>E17*I18</f>
        <v>231655.18406250005</v>
      </c>
      <c r="F18" s="67">
        <f t="shared" si="0"/>
        <v>233742.37218750006</v>
      </c>
      <c r="G18" s="68">
        <f t="shared" ref="G18:G26" si="1">E18-D18</f>
        <v>-2087.1881250000151</v>
      </c>
      <c r="H18" s="70">
        <f t="shared" ref="H18:H21" si="2">C18</f>
        <v>3.08</v>
      </c>
      <c r="I18" s="32">
        <f>H18/H17</f>
        <v>0.34375000000000006</v>
      </c>
    </row>
    <row r="19" spans="1:14" s="25" customFormat="1" ht="15" x14ac:dyDescent="0.25">
      <c r="A19" s="8" t="s">
        <v>18</v>
      </c>
      <c r="B19" s="9" t="s">
        <v>19</v>
      </c>
      <c r="C19" s="92">
        <v>1.47</v>
      </c>
      <c r="D19" s="67">
        <f>D17*I19</f>
        <v>111558.85945312503</v>
      </c>
      <c r="E19" s="67">
        <f>E17*I19</f>
        <v>110562.70148437502</v>
      </c>
      <c r="F19" s="67">
        <f t="shared" si="0"/>
        <v>111558.85945312503</v>
      </c>
      <c r="G19" s="68">
        <f t="shared" si="1"/>
        <v>-996.15796875000524</v>
      </c>
      <c r="H19" s="70">
        <f t="shared" si="2"/>
        <v>1.47</v>
      </c>
      <c r="I19" s="32">
        <f>H19/H17</f>
        <v>0.16406250000000003</v>
      </c>
    </row>
    <row r="20" spans="1:14" s="25" customFormat="1" ht="15" x14ac:dyDescent="0.25">
      <c r="A20" s="8" t="s">
        <v>20</v>
      </c>
      <c r="B20" s="9" t="s">
        <v>21</v>
      </c>
      <c r="C20" s="92">
        <v>1.81</v>
      </c>
      <c r="D20" s="67">
        <f>D17*I20</f>
        <v>137361.58885044645</v>
      </c>
      <c r="E20" s="67">
        <f>E17*I20</f>
        <v>136135.02699776788</v>
      </c>
      <c r="F20" s="67">
        <f t="shared" si="0"/>
        <v>137361.58885044645</v>
      </c>
      <c r="G20" s="68">
        <f t="shared" si="1"/>
        <v>-1226.5618526785693</v>
      </c>
      <c r="H20" s="70">
        <f t="shared" si="2"/>
        <v>1.81</v>
      </c>
      <c r="I20" s="32">
        <f>H20/H17</f>
        <v>0.2020089285714286</v>
      </c>
    </row>
    <row r="21" spans="1:14" s="25" customFormat="1" ht="15" x14ac:dyDescent="0.25">
      <c r="A21" s="8" t="s">
        <v>22</v>
      </c>
      <c r="B21" s="9" t="s">
        <v>23</v>
      </c>
      <c r="C21" s="92">
        <v>2.6</v>
      </c>
      <c r="D21" s="67">
        <f>D17*I21</f>
        <v>197314.98950892861</v>
      </c>
      <c r="E21" s="67">
        <f>E17*I21</f>
        <v>195553.07745535715</v>
      </c>
      <c r="F21" s="67">
        <f t="shared" si="0"/>
        <v>197314.98950892861</v>
      </c>
      <c r="G21" s="68">
        <f t="shared" si="1"/>
        <v>-1761.912053571461</v>
      </c>
      <c r="H21" s="70">
        <f t="shared" si="2"/>
        <v>2.6</v>
      </c>
      <c r="I21" s="32">
        <f>H21/H17</f>
        <v>0.29017857142857145</v>
      </c>
    </row>
    <row r="22" spans="1:14" s="72" customFormat="1" ht="14.25" x14ac:dyDescent="0.2">
      <c r="A22" s="227" t="s">
        <v>25</v>
      </c>
      <c r="B22" s="227" t="s">
        <v>26</v>
      </c>
      <c r="C22" s="202">
        <v>3.43</v>
      </c>
      <c r="D22" s="172">
        <v>260408.07</v>
      </c>
      <c r="E22" s="172">
        <v>257974.17</v>
      </c>
      <c r="F22" s="172">
        <f t="shared" si="0"/>
        <v>260408.07</v>
      </c>
      <c r="G22" s="172">
        <f t="shared" si="1"/>
        <v>-2433.8999999999942</v>
      </c>
      <c r="H22" s="173"/>
      <c r="I22" s="173"/>
      <c r="J22" s="173"/>
      <c r="K22" s="173"/>
    </row>
    <row r="23" spans="1:14" s="72" customFormat="1" ht="14.25" x14ac:dyDescent="0.2">
      <c r="A23" s="227" t="s">
        <v>27</v>
      </c>
      <c r="B23" s="227" t="s">
        <v>28</v>
      </c>
      <c r="C23" s="202">
        <v>4.5999999999999996</v>
      </c>
      <c r="D23" s="172">
        <v>349233.84</v>
      </c>
      <c r="E23" s="172">
        <v>345969.78</v>
      </c>
      <c r="F23" s="172">
        <f t="shared" si="0"/>
        <v>349233.84</v>
      </c>
      <c r="G23" s="172">
        <f t="shared" si="1"/>
        <v>-3264.0599999999977</v>
      </c>
      <c r="H23" s="173"/>
      <c r="I23" s="173"/>
      <c r="J23" s="173"/>
      <c r="K23" s="173"/>
    </row>
    <row r="24" spans="1:14" s="72" customFormat="1" ht="14.25" x14ac:dyDescent="0.2">
      <c r="A24" s="227" t="s">
        <v>29</v>
      </c>
      <c r="B24" s="227" t="s">
        <v>30</v>
      </c>
      <c r="C24" s="202">
        <v>1</v>
      </c>
      <c r="D24" s="172">
        <v>75920.399999999994</v>
      </c>
      <c r="E24" s="172">
        <v>75234.58</v>
      </c>
      <c r="F24" s="172">
        <f t="shared" si="0"/>
        <v>75920.399999999994</v>
      </c>
      <c r="G24" s="172">
        <f t="shared" si="1"/>
        <v>-685.81999999999243</v>
      </c>
      <c r="H24" s="173"/>
      <c r="I24" s="173"/>
      <c r="J24" s="173"/>
      <c r="K24" s="173"/>
    </row>
    <row r="25" spans="1:14" s="72" customFormat="1" ht="14.25" x14ac:dyDescent="0.2">
      <c r="A25" s="227" t="s">
        <v>31</v>
      </c>
      <c r="B25" s="227" t="s">
        <v>132</v>
      </c>
      <c r="C25" s="263">
        <v>1.82</v>
      </c>
      <c r="D25" s="172">
        <v>138063.78</v>
      </c>
      <c r="E25" s="172">
        <v>136774.48000000001</v>
      </c>
      <c r="F25" s="172">
        <f>F40</f>
        <v>82446.144799999995</v>
      </c>
      <c r="G25" s="172">
        <f>E25-D25</f>
        <v>-1289.2999999999884</v>
      </c>
      <c r="H25" s="173"/>
      <c r="I25" s="173"/>
      <c r="J25" s="173"/>
      <c r="K25" s="173"/>
    </row>
    <row r="26" spans="1:14" ht="14.25" x14ac:dyDescent="0.2">
      <c r="A26" s="137" t="s">
        <v>33</v>
      </c>
      <c r="B26" s="137" t="s">
        <v>248</v>
      </c>
      <c r="C26" s="201">
        <v>1755.25</v>
      </c>
      <c r="D26" s="166">
        <v>7796.6</v>
      </c>
      <c r="E26" s="166">
        <v>7581.47</v>
      </c>
      <c r="F26" s="172">
        <f>D26</f>
        <v>7796.6</v>
      </c>
      <c r="G26" s="166">
        <f t="shared" si="1"/>
        <v>-215.13000000000011</v>
      </c>
      <c r="H26" s="37"/>
      <c r="I26" s="37"/>
      <c r="J26" s="37"/>
      <c r="K26" s="37"/>
    </row>
    <row r="27" spans="1:14" ht="14.25" x14ac:dyDescent="0.2">
      <c r="A27" s="137" t="s">
        <v>35</v>
      </c>
      <c r="B27" s="137" t="s">
        <v>36</v>
      </c>
      <c r="C27" s="201">
        <v>0</v>
      </c>
      <c r="D27" s="166">
        <f>SUM(D28:D31)</f>
        <v>2498149.29</v>
      </c>
      <c r="E27" s="166">
        <f>SUM(E28:E31)</f>
        <v>2422162.7400000002</v>
      </c>
      <c r="F27" s="166">
        <f>SUM(F28:F31)</f>
        <v>2498149.29</v>
      </c>
      <c r="G27" s="166">
        <f>SUM(G28:G31)</f>
        <v>-75986.550000000032</v>
      </c>
      <c r="H27" s="37"/>
      <c r="I27" s="37"/>
      <c r="J27" s="37"/>
      <c r="K27" s="37"/>
    </row>
    <row r="28" spans="1:14" ht="15" x14ac:dyDescent="0.25">
      <c r="A28" s="9" t="s">
        <v>37</v>
      </c>
      <c r="B28" s="9" t="s">
        <v>263</v>
      </c>
      <c r="C28" s="250" t="s">
        <v>245</v>
      </c>
      <c r="D28" s="68">
        <v>125090.74</v>
      </c>
      <c r="E28" s="68">
        <v>123916.47</v>
      </c>
      <c r="F28" s="68">
        <f>D28</f>
        <v>125090.74</v>
      </c>
      <c r="G28" s="68">
        <f>E28-D28</f>
        <v>-1174.2700000000041</v>
      </c>
    </row>
    <row r="29" spans="1:14" ht="15" x14ac:dyDescent="0.25">
      <c r="A29" s="9" t="s">
        <v>39</v>
      </c>
      <c r="B29" s="9" t="s">
        <v>171</v>
      </c>
      <c r="C29" s="237" t="s">
        <v>246</v>
      </c>
      <c r="D29" s="68">
        <v>602979.35</v>
      </c>
      <c r="E29" s="68">
        <v>587923.44999999995</v>
      </c>
      <c r="F29" s="68">
        <f>D29</f>
        <v>602979.35</v>
      </c>
      <c r="G29" s="68">
        <f>E29-D29</f>
        <v>-15055.900000000023</v>
      </c>
    </row>
    <row r="30" spans="1:14" ht="15" x14ac:dyDescent="0.25">
      <c r="A30" s="9" t="s">
        <v>42</v>
      </c>
      <c r="B30" s="9" t="s">
        <v>173</v>
      </c>
      <c r="C30" s="236" t="s">
        <v>395</v>
      </c>
      <c r="D30" s="68">
        <v>815093.2</v>
      </c>
      <c r="E30" s="68">
        <v>790195.62</v>
      </c>
      <c r="F30" s="68">
        <f>D30</f>
        <v>815093.2</v>
      </c>
      <c r="G30" s="68">
        <f>E30-D30</f>
        <v>-24897.579999999958</v>
      </c>
    </row>
    <row r="31" spans="1:14" ht="15" x14ac:dyDescent="0.25">
      <c r="A31" s="9" t="s">
        <v>41</v>
      </c>
      <c r="B31" s="9" t="s">
        <v>43</v>
      </c>
      <c r="C31" s="236" t="s">
        <v>378</v>
      </c>
      <c r="D31" s="68">
        <v>954986</v>
      </c>
      <c r="E31" s="68">
        <v>920127.2</v>
      </c>
      <c r="F31" s="68">
        <f>D31</f>
        <v>954986</v>
      </c>
      <c r="G31" s="68">
        <f>E31-D31</f>
        <v>-34858.800000000047</v>
      </c>
    </row>
    <row r="32" spans="1:14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2" s="15" customFormat="1" ht="15.75" thickBot="1" x14ac:dyDescent="0.3">
      <c r="A33" s="287" t="s">
        <v>241</v>
      </c>
      <c r="B33" s="288"/>
      <c r="C33" s="288"/>
      <c r="D33" s="73">
        <f>D12+D17+D22+D23+D24+D25+D26+D27-E17-E22-E23-E24-E25-E26-E27</f>
        <v>89946.579999999143</v>
      </c>
      <c r="E33" s="39"/>
      <c r="F33" s="39"/>
      <c r="G33" s="39"/>
      <c r="H33" s="40"/>
      <c r="I33" s="40"/>
    </row>
    <row r="34" spans="1:12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2" s="15" customFormat="1" ht="15.75" thickBot="1" x14ac:dyDescent="0.3">
      <c r="A35" s="266" t="s">
        <v>243</v>
      </c>
      <c r="B35" s="267"/>
      <c r="C35" s="267"/>
      <c r="D35" s="44"/>
      <c r="E35" s="45"/>
      <c r="F35" s="45"/>
      <c r="G35" s="38">
        <f>G14+E25-F25</f>
        <v>54328.335200000016</v>
      </c>
      <c r="H35" s="40"/>
      <c r="I35" s="40"/>
    </row>
    <row r="36" spans="1:12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2" ht="31.5" customHeight="1" x14ac:dyDescent="0.2">
      <c r="A37" s="289" t="s">
        <v>479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9" spans="1:12" s="18" customFormat="1" ht="37.5" customHeight="1" x14ac:dyDescent="0.2">
      <c r="A39" s="268" t="s">
        <v>11</v>
      </c>
      <c r="B39" s="306" t="s">
        <v>45</v>
      </c>
      <c r="C39" s="307"/>
      <c r="D39" s="268" t="s">
        <v>254</v>
      </c>
      <c r="E39" s="268" t="s">
        <v>253</v>
      </c>
      <c r="F39" s="306" t="s">
        <v>46</v>
      </c>
      <c r="G39" s="307"/>
      <c r="H39" s="57"/>
      <c r="I39" s="58"/>
      <c r="L39" s="54"/>
    </row>
    <row r="40" spans="1:12" s="12" customFormat="1" ht="15" customHeight="1" x14ac:dyDescent="0.25">
      <c r="A40" s="11" t="s">
        <v>47</v>
      </c>
      <c r="B40" s="308" t="s">
        <v>127</v>
      </c>
      <c r="C40" s="309"/>
      <c r="D40" s="176"/>
      <c r="E40" s="176"/>
      <c r="F40" s="316">
        <f>SUM(F41:G45)</f>
        <v>82446.144799999995</v>
      </c>
      <c r="G40" s="312"/>
      <c r="H40" s="59"/>
      <c r="I40" s="60"/>
      <c r="L40" s="55"/>
    </row>
    <row r="41" spans="1:12" ht="15" x14ac:dyDescent="0.25">
      <c r="A41" s="9" t="s">
        <v>16</v>
      </c>
      <c r="B41" s="298" t="s">
        <v>358</v>
      </c>
      <c r="C41" s="299"/>
      <c r="D41" s="177" t="s">
        <v>295</v>
      </c>
      <c r="E41" s="177">
        <v>1100</v>
      </c>
      <c r="F41" s="329">
        <v>5542</v>
      </c>
      <c r="G41" s="330"/>
      <c r="H41" s="61"/>
      <c r="I41" s="62"/>
      <c r="L41" s="56"/>
    </row>
    <row r="42" spans="1:12" ht="15" x14ac:dyDescent="0.25">
      <c r="A42" s="9" t="s">
        <v>18</v>
      </c>
      <c r="B42" s="298" t="s">
        <v>500</v>
      </c>
      <c r="C42" s="299"/>
      <c r="D42" s="177" t="s">
        <v>295</v>
      </c>
      <c r="E42" s="177">
        <v>2</v>
      </c>
      <c r="F42" s="329">
        <v>7920</v>
      </c>
      <c r="G42" s="330"/>
      <c r="H42" s="90"/>
      <c r="I42" s="90"/>
      <c r="L42" s="56"/>
    </row>
    <row r="43" spans="1:12" ht="15" x14ac:dyDescent="0.25">
      <c r="A43" s="9" t="s">
        <v>20</v>
      </c>
      <c r="B43" s="298" t="s">
        <v>232</v>
      </c>
      <c r="C43" s="299"/>
      <c r="D43" s="177" t="s">
        <v>295</v>
      </c>
      <c r="E43" s="177">
        <v>1100</v>
      </c>
      <c r="F43" s="329">
        <v>3658.4</v>
      </c>
      <c r="G43" s="330"/>
      <c r="H43" s="90"/>
      <c r="I43" s="90"/>
      <c r="L43" s="56"/>
    </row>
    <row r="44" spans="1:12" ht="15" x14ac:dyDescent="0.25">
      <c r="A44" s="9" t="s">
        <v>22</v>
      </c>
      <c r="B44" s="298" t="s">
        <v>558</v>
      </c>
      <c r="C44" s="299"/>
      <c r="D44" s="177"/>
      <c r="E44" s="177"/>
      <c r="F44" s="329">
        <v>63958</v>
      </c>
      <c r="G44" s="330"/>
      <c r="H44" s="90"/>
      <c r="I44" s="90"/>
      <c r="L44" s="56"/>
    </row>
    <row r="45" spans="1:12" s="3" customFormat="1" ht="15" x14ac:dyDescent="0.25">
      <c r="A45" s="9" t="s">
        <v>24</v>
      </c>
      <c r="B45" s="327" t="s">
        <v>533</v>
      </c>
      <c r="C45" s="328"/>
      <c r="D45" s="246"/>
      <c r="E45" s="246"/>
      <c r="F45" s="317">
        <f>E25*1%</f>
        <v>1367.7448000000002</v>
      </c>
      <c r="G45" s="317"/>
      <c r="H45" s="25"/>
      <c r="I45" s="25"/>
      <c r="J45" s="25"/>
      <c r="K45" s="25"/>
    </row>
    <row r="46" spans="1:12" s="25" customFormat="1" ht="9" customHeight="1" x14ac:dyDescent="0.2"/>
    <row r="47" spans="1:12" s="25" customFormat="1" ht="15" x14ac:dyDescent="0.25">
      <c r="A47" s="3" t="s">
        <v>55</v>
      </c>
      <c r="B47" s="3"/>
      <c r="C47" s="101" t="s">
        <v>49</v>
      </c>
      <c r="D47" s="3"/>
      <c r="E47" s="3"/>
      <c r="F47" s="3" t="s">
        <v>102</v>
      </c>
      <c r="G47" s="3"/>
      <c r="H47" s="3"/>
      <c r="I47" s="3"/>
      <c r="J47" s="3"/>
      <c r="K47" s="3"/>
    </row>
    <row r="48" spans="1:12" s="25" customFormat="1" ht="15" x14ac:dyDescent="0.25">
      <c r="A48" s="3"/>
      <c r="B48" s="3"/>
      <c r="C48" s="101"/>
      <c r="D48" s="3"/>
      <c r="E48" s="3"/>
      <c r="F48" s="4" t="s">
        <v>265</v>
      </c>
      <c r="G48" s="3"/>
    </row>
    <row r="49" spans="1:11" s="25" customFormat="1" ht="15" x14ac:dyDescent="0.25">
      <c r="A49" s="3" t="s">
        <v>50</v>
      </c>
      <c r="B49" s="3"/>
      <c r="C49" s="101"/>
      <c r="D49" s="3"/>
      <c r="E49" s="3"/>
      <c r="F49" s="3"/>
      <c r="G49" s="3"/>
      <c r="H49" s="34"/>
      <c r="I49" s="34"/>
      <c r="J49" s="34"/>
    </row>
    <row r="50" spans="1:11" ht="15" x14ac:dyDescent="0.25">
      <c r="A50" s="3"/>
      <c r="B50" s="3"/>
      <c r="C50" s="106" t="s">
        <v>51</v>
      </c>
      <c r="D50" s="3"/>
      <c r="E50" s="14"/>
      <c r="F50" s="14"/>
      <c r="G50" s="14"/>
      <c r="H50" s="25"/>
      <c r="I50" s="25"/>
      <c r="J50" s="25"/>
      <c r="K50" s="25"/>
    </row>
    <row r="51" spans="1:1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</sheetData>
  <mergeCells count="24">
    <mergeCell ref="B45:C45"/>
    <mergeCell ref="F45:G45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F42" sqref="F42"/>
    </sheetView>
  </sheetViews>
  <sheetFormatPr defaultRowHeight="12.75" outlineLevelCol="1" x14ac:dyDescent="0.2"/>
  <cols>
    <col min="1" max="1" width="5.5703125" style="23" customWidth="1"/>
    <col min="2" max="2" width="51.85546875" style="23" customWidth="1"/>
    <col min="3" max="3" width="15.7109375" style="23" customWidth="1"/>
    <col min="4" max="4" width="14.85546875" style="23" customWidth="1"/>
    <col min="5" max="5" width="13.28515625" style="23" customWidth="1"/>
    <col min="6" max="6" width="12.8554687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hidden="1" customWidth="1" outlineLevel="1"/>
    <col min="12" max="13" width="9.140625" style="23" hidden="1" customWidth="1" outlineLevel="1"/>
    <col min="14" max="14" width="9.140625" style="23" collapsed="1"/>
    <col min="15" max="15" width="10" style="23" bestFit="1" customWidth="1"/>
    <col min="16" max="16" width="15.85546875" style="23" customWidth="1"/>
    <col min="17" max="16384" width="9.140625" style="23"/>
  </cols>
  <sheetData>
    <row r="1" spans="1:13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3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3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3" ht="9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3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3" s="25" customFormat="1" ht="16.5" customHeight="1" x14ac:dyDescent="0.2">
      <c r="A7" s="25" t="s">
        <v>2</v>
      </c>
      <c r="F7" s="26" t="s">
        <v>493</v>
      </c>
      <c r="H7" s="26"/>
      <c r="L7" s="64"/>
      <c r="M7" s="25" t="s">
        <v>150</v>
      </c>
    </row>
    <row r="8" spans="1:13" s="25" customFormat="1" x14ac:dyDescent="0.2">
      <c r="A8" s="25" t="s">
        <v>3</v>
      </c>
      <c r="F8" s="26" t="s">
        <v>494</v>
      </c>
      <c r="H8" s="26"/>
    </row>
    <row r="9" spans="1:13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3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s="15" customFormat="1" ht="16.5" customHeight="1" thickBot="1" x14ac:dyDescent="0.3">
      <c r="A12" s="287" t="s">
        <v>495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3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3" s="15" customFormat="1" ht="15.75" thickBot="1" x14ac:dyDescent="0.3">
      <c r="A14" s="266" t="s">
        <v>496</v>
      </c>
      <c r="B14" s="267"/>
      <c r="C14" s="267"/>
      <c r="D14" s="44"/>
      <c r="E14" s="45"/>
      <c r="F14" s="45"/>
      <c r="G14" s="73">
        <v>0</v>
      </c>
      <c r="H14" s="40"/>
      <c r="I14" s="40"/>
    </row>
    <row r="15" spans="1:13" s="25" customFormat="1" ht="6.75" customHeight="1" x14ac:dyDescent="0.2"/>
    <row r="16" spans="1:13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6" s="25" customFormat="1" ht="14.25" x14ac:dyDescent="0.2">
      <c r="A17" s="187" t="s">
        <v>14</v>
      </c>
      <c r="B17" s="137" t="s">
        <v>15</v>
      </c>
      <c r="C17" s="272">
        <f>C18+C19+C20+C21</f>
        <v>8.5500000000000007</v>
      </c>
      <c r="D17" s="165">
        <v>38496.75</v>
      </c>
      <c r="E17" s="165">
        <v>37580.879999999997</v>
      </c>
      <c r="F17" s="165">
        <f>D17</f>
        <v>38496.75</v>
      </c>
      <c r="G17" s="166">
        <f>E17-D17</f>
        <v>-915.87000000000262</v>
      </c>
      <c r="H17" s="70">
        <f>C17</f>
        <v>8.5500000000000007</v>
      </c>
      <c r="I17" s="168"/>
      <c r="J17" s="168"/>
      <c r="K17" s="168"/>
      <c r="O17" s="70"/>
      <c r="P17" s="63"/>
    </row>
    <row r="18" spans="1:16" s="25" customFormat="1" ht="15" x14ac:dyDescent="0.25">
      <c r="A18" s="8" t="s">
        <v>16</v>
      </c>
      <c r="B18" s="9" t="s">
        <v>17</v>
      </c>
      <c r="C18" s="68">
        <v>3.08</v>
      </c>
      <c r="D18" s="67">
        <f>D17*I18</f>
        <v>13867.835087719297</v>
      </c>
      <c r="E18" s="67">
        <f>E17*I18</f>
        <v>13537.907649122806</v>
      </c>
      <c r="F18" s="67">
        <f>D18</f>
        <v>13867.835087719297</v>
      </c>
      <c r="G18" s="68">
        <f t="shared" ref="G18:G26" si="0">E18-D18</f>
        <v>-329.9274385964909</v>
      </c>
      <c r="H18" s="70">
        <f t="shared" ref="H18:H21" si="1">C18</f>
        <v>3.08</v>
      </c>
      <c r="I18" s="32">
        <f>H18/H17</f>
        <v>0.36023391812865496</v>
      </c>
    </row>
    <row r="19" spans="1:16" s="25" customFormat="1" ht="15" x14ac:dyDescent="0.25">
      <c r="A19" s="8" t="s">
        <v>18</v>
      </c>
      <c r="B19" s="9" t="s">
        <v>19</v>
      </c>
      <c r="C19" s="68">
        <v>1.51</v>
      </c>
      <c r="D19" s="67">
        <f>D17*I19</f>
        <v>6798.841228070175</v>
      </c>
      <c r="E19" s="67">
        <f>E17*I19</f>
        <v>6637.0910877192973</v>
      </c>
      <c r="F19" s="67">
        <f>D19</f>
        <v>6798.841228070175</v>
      </c>
      <c r="G19" s="68">
        <f t="shared" si="0"/>
        <v>-161.7501403508777</v>
      </c>
      <c r="H19" s="70">
        <f t="shared" si="1"/>
        <v>1.51</v>
      </c>
      <c r="I19" s="32">
        <f>H19/H17</f>
        <v>0.17660818713450291</v>
      </c>
    </row>
    <row r="20" spans="1:16" s="25" customFormat="1" ht="15" x14ac:dyDescent="0.25">
      <c r="A20" s="8" t="s">
        <v>20</v>
      </c>
      <c r="B20" s="9" t="s">
        <v>21</v>
      </c>
      <c r="C20" s="68">
        <v>1.36</v>
      </c>
      <c r="D20" s="67">
        <f>D17*I20</f>
        <v>6123.4596491228067</v>
      </c>
      <c r="E20" s="67">
        <f>E17*I20</f>
        <v>5977.7774035087714</v>
      </c>
      <c r="F20" s="67">
        <f>D20</f>
        <v>6123.4596491228067</v>
      </c>
      <c r="G20" s="68">
        <f t="shared" si="0"/>
        <v>-145.68224561403531</v>
      </c>
      <c r="H20" s="70">
        <f t="shared" si="1"/>
        <v>1.36</v>
      </c>
      <c r="I20" s="32">
        <f>H20/H17</f>
        <v>0.1590643274853801</v>
      </c>
    </row>
    <row r="21" spans="1:16" s="25" customFormat="1" ht="15" x14ac:dyDescent="0.25">
      <c r="A21" s="8" t="s">
        <v>22</v>
      </c>
      <c r="B21" s="9" t="s">
        <v>23</v>
      </c>
      <c r="C21" s="68">
        <v>2.6</v>
      </c>
      <c r="D21" s="67">
        <f>D17*I21</f>
        <v>11706.614035087719</v>
      </c>
      <c r="E21" s="67">
        <f>E17*I21</f>
        <v>11428.103859649122</v>
      </c>
      <c r="F21" s="67">
        <f>D21</f>
        <v>11706.614035087719</v>
      </c>
      <c r="G21" s="68">
        <f t="shared" si="0"/>
        <v>-278.5101754385978</v>
      </c>
      <c r="H21" s="70">
        <f t="shared" si="1"/>
        <v>2.6</v>
      </c>
      <c r="I21" s="32">
        <f>H21/H17</f>
        <v>0.30409356725146197</v>
      </c>
    </row>
    <row r="22" spans="1:16" s="72" customFormat="1" ht="14.25" x14ac:dyDescent="0.2">
      <c r="A22" s="227" t="s">
        <v>25</v>
      </c>
      <c r="B22" s="227" t="s">
        <v>26</v>
      </c>
      <c r="C22" s="172">
        <v>0</v>
      </c>
      <c r="D22" s="172">
        <v>0</v>
      </c>
      <c r="E22" s="172">
        <v>0</v>
      </c>
      <c r="F22" s="172">
        <v>0</v>
      </c>
      <c r="G22" s="172">
        <f t="shared" si="0"/>
        <v>0</v>
      </c>
      <c r="H22" s="173"/>
      <c r="I22" s="173"/>
      <c r="J22" s="173"/>
      <c r="K22" s="173"/>
    </row>
    <row r="23" spans="1:16" s="72" customFormat="1" ht="14.25" x14ac:dyDescent="0.2">
      <c r="A23" s="227" t="s">
        <v>27</v>
      </c>
      <c r="B23" s="227" t="s">
        <v>28</v>
      </c>
      <c r="C23" s="172">
        <v>4.5999999999999996</v>
      </c>
      <c r="D23" s="172">
        <v>20711.5</v>
      </c>
      <c r="E23" s="172">
        <v>20218.77</v>
      </c>
      <c r="F23" s="172">
        <f>D23</f>
        <v>20711.5</v>
      </c>
      <c r="G23" s="172">
        <f t="shared" si="0"/>
        <v>-492.72999999999956</v>
      </c>
      <c r="H23" s="173"/>
      <c r="I23" s="173"/>
      <c r="J23" s="173"/>
      <c r="K23" s="173"/>
    </row>
    <row r="24" spans="1:16" s="72" customFormat="1" ht="14.25" x14ac:dyDescent="0.2">
      <c r="A24" s="227" t="s">
        <v>29</v>
      </c>
      <c r="B24" s="227" t="s">
        <v>30</v>
      </c>
      <c r="C24" s="172">
        <v>0</v>
      </c>
      <c r="D24" s="172">
        <v>0</v>
      </c>
      <c r="E24" s="172">
        <v>0</v>
      </c>
      <c r="F24" s="172">
        <v>0</v>
      </c>
      <c r="G24" s="172">
        <f t="shared" si="0"/>
        <v>0</v>
      </c>
      <c r="H24" s="173"/>
      <c r="I24" s="173"/>
      <c r="J24" s="173"/>
      <c r="K24" s="173"/>
    </row>
    <row r="25" spans="1:16" s="72" customFormat="1" ht="14.25" x14ac:dyDescent="0.2">
      <c r="A25" s="227" t="s">
        <v>31</v>
      </c>
      <c r="B25" s="227" t="s">
        <v>132</v>
      </c>
      <c r="C25" s="262">
        <v>1.65</v>
      </c>
      <c r="D25" s="172">
        <v>7429.5</v>
      </c>
      <c r="E25" s="172">
        <v>7252.75</v>
      </c>
      <c r="F25" s="172">
        <f>F40</f>
        <v>72.527500000000003</v>
      </c>
      <c r="G25" s="172">
        <f>E25-D25</f>
        <v>-176.75</v>
      </c>
      <c r="H25" s="173"/>
      <c r="I25" s="173"/>
      <c r="J25" s="173"/>
      <c r="K25" s="173"/>
    </row>
    <row r="26" spans="1:16" ht="14.25" x14ac:dyDescent="0.2">
      <c r="A26" s="137" t="s">
        <v>33</v>
      </c>
      <c r="B26" s="137" t="s">
        <v>248</v>
      </c>
      <c r="C26" s="166">
        <v>0</v>
      </c>
      <c r="D26" s="166">
        <v>0</v>
      </c>
      <c r="E26" s="166">
        <v>0</v>
      </c>
      <c r="F26" s="172">
        <f>D26</f>
        <v>0</v>
      </c>
      <c r="G26" s="166">
        <f t="shared" si="0"/>
        <v>0</v>
      </c>
      <c r="H26" s="37"/>
      <c r="I26" s="37"/>
      <c r="J26" s="37"/>
      <c r="K26" s="37"/>
    </row>
    <row r="27" spans="1:16" ht="14.25" x14ac:dyDescent="0.2">
      <c r="A27" s="137" t="s">
        <v>35</v>
      </c>
      <c r="B27" s="137" t="s">
        <v>36</v>
      </c>
      <c r="C27" s="166">
        <v>0</v>
      </c>
      <c r="D27" s="166">
        <f>SUM(D28:D31)</f>
        <v>197040.08000000002</v>
      </c>
      <c r="E27" s="166">
        <f>SUM(E28:E31)</f>
        <v>190517.71999999997</v>
      </c>
      <c r="F27" s="166">
        <f>SUM(F28:F31)</f>
        <v>197040.08000000002</v>
      </c>
      <c r="G27" s="166">
        <f>SUM(G28:G31)</f>
        <v>-6522.3600000000233</v>
      </c>
      <c r="H27" s="37"/>
      <c r="I27" s="37"/>
      <c r="J27" s="37"/>
      <c r="K27" s="37"/>
    </row>
    <row r="28" spans="1:16" ht="15" x14ac:dyDescent="0.25">
      <c r="A28" s="9" t="s">
        <v>37</v>
      </c>
      <c r="B28" s="9" t="s">
        <v>263</v>
      </c>
      <c r="C28" s="255" t="s">
        <v>245</v>
      </c>
      <c r="D28" s="68">
        <v>460.5</v>
      </c>
      <c r="E28" s="68">
        <v>449.54</v>
      </c>
      <c r="F28" s="68">
        <f>D28</f>
        <v>460.5</v>
      </c>
      <c r="G28" s="68">
        <f>E28-D28</f>
        <v>-10.95999999999998</v>
      </c>
    </row>
    <row r="29" spans="1:16" ht="15" x14ac:dyDescent="0.25">
      <c r="A29" s="9" t="s">
        <v>39</v>
      </c>
      <c r="B29" s="9" t="s">
        <v>171</v>
      </c>
      <c r="C29" s="255" t="s">
        <v>246</v>
      </c>
      <c r="D29" s="68">
        <v>47393.79</v>
      </c>
      <c r="E29" s="68">
        <v>46486.38</v>
      </c>
      <c r="F29" s="68">
        <f>D29</f>
        <v>47393.79</v>
      </c>
      <c r="G29" s="68">
        <f>E29-D29</f>
        <v>-907.41000000000349</v>
      </c>
    </row>
    <row r="30" spans="1:16" ht="15" x14ac:dyDescent="0.25">
      <c r="A30" s="9" t="s">
        <v>42</v>
      </c>
      <c r="B30" s="9" t="s">
        <v>173</v>
      </c>
      <c r="C30" s="256">
        <v>0</v>
      </c>
      <c r="D30" s="68">
        <v>0</v>
      </c>
      <c r="E30" s="68">
        <v>0</v>
      </c>
      <c r="F30" s="68">
        <f>D30</f>
        <v>0</v>
      </c>
      <c r="G30" s="68">
        <f>E30-D30</f>
        <v>0</v>
      </c>
    </row>
    <row r="31" spans="1:16" ht="15" x14ac:dyDescent="0.25">
      <c r="A31" s="9" t="s">
        <v>41</v>
      </c>
      <c r="B31" s="9" t="s">
        <v>43</v>
      </c>
      <c r="C31" s="255" t="s">
        <v>247</v>
      </c>
      <c r="D31" s="68">
        <v>149185.79</v>
      </c>
      <c r="E31" s="68">
        <v>143581.79999999999</v>
      </c>
      <c r="F31" s="68">
        <f>D31</f>
        <v>149185.79</v>
      </c>
      <c r="G31" s="68">
        <f>E31-D31</f>
        <v>-5603.9900000000198</v>
      </c>
    </row>
    <row r="32" spans="1:16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4" s="15" customFormat="1" ht="15.75" thickBot="1" x14ac:dyDescent="0.3">
      <c r="A33" s="287" t="s">
        <v>241</v>
      </c>
      <c r="B33" s="288"/>
      <c r="C33" s="288"/>
      <c r="D33" s="73">
        <f>D12+D17+D22+D23+D24+D25+D26+D27-E17-E22-E23-E24-E25-E26-E27</f>
        <v>8107.7100000000501</v>
      </c>
      <c r="E33" s="39"/>
      <c r="F33" s="39"/>
      <c r="G33" s="39"/>
      <c r="H33" s="40"/>
      <c r="I33" s="40"/>
    </row>
    <row r="34" spans="1:14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4" s="15" customFormat="1" ht="15.75" thickBot="1" x14ac:dyDescent="0.3">
      <c r="A35" s="266" t="s">
        <v>243</v>
      </c>
      <c r="B35" s="267"/>
      <c r="C35" s="267"/>
      <c r="D35" s="44"/>
      <c r="E35" s="45"/>
      <c r="F35" s="45"/>
      <c r="G35" s="38">
        <f>G14+E25-F25</f>
        <v>7180.2224999999999</v>
      </c>
      <c r="H35" s="40"/>
      <c r="I35" s="40"/>
    </row>
    <row r="36" spans="1:14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</row>
    <row r="37" spans="1:14" s="20" customFormat="1" ht="27" customHeight="1" x14ac:dyDescent="0.25">
      <c r="A37" s="289" t="s">
        <v>44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2"/>
      <c r="M37" s="22"/>
    </row>
    <row r="39" spans="1:14" ht="28.5" x14ac:dyDescent="0.2">
      <c r="A39" s="268" t="s">
        <v>11</v>
      </c>
      <c r="B39" s="306" t="s">
        <v>45</v>
      </c>
      <c r="C39" s="307"/>
      <c r="D39" s="268" t="s">
        <v>254</v>
      </c>
      <c r="E39" s="268" t="s">
        <v>253</v>
      </c>
      <c r="F39" s="306" t="s">
        <v>46</v>
      </c>
      <c r="G39" s="307"/>
      <c r="H39" s="57"/>
      <c r="I39" s="58"/>
      <c r="J39" s="18"/>
      <c r="K39" s="18"/>
    </row>
    <row r="40" spans="1:14" s="18" customFormat="1" ht="15" x14ac:dyDescent="0.25">
      <c r="A40" s="11" t="s">
        <v>47</v>
      </c>
      <c r="B40" s="308" t="s">
        <v>127</v>
      </c>
      <c r="C40" s="309"/>
      <c r="D40" s="176"/>
      <c r="E40" s="176"/>
      <c r="F40" s="316">
        <f>SUM(F41:G41)</f>
        <v>72.527500000000003</v>
      </c>
      <c r="G40" s="312"/>
      <c r="H40" s="59"/>
      <c r="I40" s="60"/>
      <c r="J40" s="12"/>
      <c r="K40" s="12"/>
      <c r="N40" s="54"/>
    </row>
    <row r="41" spans="1:14" s="25" customFormat="1" ht="15" x14ac:dyDescent="0.25">
      <c r="A41" s="9" t="s">
        <v>16</v>
      </c>
      <c r="B41" s="327" t="s">
        <v>533</v>
      </c>
      <c r="C41" s="328"/>
      <c r="D41" s="246"/>
      <c r="E41" s="246"/>
      <c r="F41" s="317">
        <f>E25*1%</f>
        <v>72.527500000000003</v>
      </c>
      <c r="G41" s="317"/>
    </row>
    <row r="42" spans="1:14" s="3" customFormat="1" ht="1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4" s="25" customFormat="1" ht="15" x14ac:dyDescent="0.25">
      <c r="A43" s="3" t="s">
        <v>55</v>
      </c>
      <c r="B43" s="3"/>
      <c r="C43" s="101" t="s">
        <v>49</v>
      </c>
      <c r="D43" s="3"/>
      <c r="E43" s="3"/>
      <c r="F43" s="3" t="s">
        <v>102</v>
      </c>
      <c r="G43" s="3"/>
      <c r="H43" s="3"/>
      <c r="I43" s="3"/>
      <c r="J43" s="3"/>
      <c r="K43" s="3"/>
    </row>
    <row r="44" spans="1:14" s="25" customFormat="1" ht="15" x14ac:dyDescent="0.25">
      <c r="A44" s="3"/>
      <c r="B44" s="3"/>
      <c r="C44" s="101"/>
      <c r="D44" s="3"/>
      <c r="E44" s="3"/>
      <c r="F44" s="4" t="s">
        <v>265</v>
      </c>
      <c r="G44" s="3"/>
    </row>
    <row r="45" spans="1:14" s="25" customFormat="1" ht="15" x14ac:dyDescent="0.25">
      <c r="A45" s="3" t="s">
        <v>50</v>
      </c>
      <c r="B45" s="3"/>
      <c r="C45" s="101"/>
      <c r="D45" s="3"/>
      <c r="E45" s="3"/>
      <c r="F45" s="3"/>
      <c r="G45" s="3"/>
      <c r="H45" s="34"/>
      <c r="I45" s="34"/>
      <c r="J45" s="34"/>
    </row>
    <row r="46" spans="1:14" s="25" customFormat="1" ht="15" x14ac:dyDescent="0.25">
      <c r="A46" s="3"/>
      <c r="B46" s="3"/>
      <c r="C46" s="106" t="s">
        <v>51</v>
      </c>
      <c r="D46" s="3"/>
      <c r="E46" s="14"/>
      <c r="F46" s="14"/>
      <c r="G46" s="14"/>
    </row>
    <row r="47" spans="1:14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</sheetData>
  <mergeCells count="16">
    <mergeCell ref="B40:C40"/>
    <mergeCell ref="F40:G40"/>
    <mergeCell ref="B41:C41"/>
    <mergeCell ref="F41:G41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workbookViewId="0">
      <selection activeCell="B42" sqref="B42:C42"/>
    </sheetView>
  </sheetViews>
  <sheetFormatPr defaultRowHeight="12.75" outlineLevelCol="1" x14ac:dyDescent="0.2"/>
  <cols>
    <col min="1" max="1" width="6" style="23" customWidth="1"/>
    <col min="2" max="2" width="48.140625" style="23" customWidth="1"/>
    <col min="3" max="3" width="14" style="23" customWidth="1"/>
    <col min="4" max="4" width="14.85546875" style="23" customWidth="1"/>
    <col min="5" max="6" width="13.285156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customWidth="1" collapsed="1"/>
    <col min="12" max="12" width="9.140625" style="23"/>
    <col min="13" max="13" width="10" style="23" bestFit="1" customWidth="1"/>
    <col min="14" max="14" width="15.85546875" style="23" customWidth="1"/>
    <col min="15" max="16384" width="9.140625" style="23"/>
  </cols>
  <sheetData>
    <row r="1" spans="1:11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1" s="25" customFormat="1" ht="16.5" customHeight="1" x14ac:dyDescent="0.2">
      <c r="A7" s="25" t="s">
        <v>2</v>
      </c>
      <c r="F7" s="26" t="s">
        <v>501</v>
      </c>
      <c r="H7" s="26"/>
    </row>
    <row r="8" spans="1:11" s="25" customFormat="1" x14ac:dyDescent="0.2">
      <c r="A8" s="25" t="s">
        <v>3</v>
      </c>
      <c r="F8" s="26" t="s">
        <v>502</v>
      </c>
      <c r="H8" s="26"/>
    </row>
    <row r="9" spans="1:11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s="15" customFormat="1" ht="16.5" customHeight="1" thickBot="1" x14ac:dyDescent="0.3">
      <c r="A12" s="287" t="s">
        <v>503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266" t="s">
        <v>496</v>
      </c>
      <c r="B14" s="267"/>
      <c r="C14" s="267"/>
      <c r="D14" s="44"/>
      <c r="E14" s="45"/>
      <c r="F14" s="45"/>
      <c r="G14" s="73">
        <v>0</v>
      </c>
      <c r="H14" s="40"/>
      <c r="I14" s="40"/>
    </row>
    <row r="15" spans="1:11" s="25" customFormat="1" ht="6.75" customHeight="1" x14ac:dyDescent="0.2"/>
    <row r="16" spans="1:11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4" s="25" customFormat="1" ht="14.25" x14ac:dyDescent="0.2">
      <c r="A17" s="187" t="s">
        <v>14</v>
      </c>
      <c r="B17" s="137" t="s">
        <v>15</v>
      </c>
      <c r="C17" s="201">
        <f>C18+C19+C20+C21</f>
        <v>8.9599999999999991</v>
      </c>
      <c r="D17" s="165">
        <v>204628.65</v>
      </c>
      <c r="E17" s="165">
        <v>197950.7</v>
      </c>
      <c r="F17" s="165">
        <f t="shared" ref="F17:F24" si="0">D17</f>
        <v>204628.65</v>
      </c>
      <c r="G17" s="166">
        <f>E17-D17</f>
        <v>-6677.9499999999825</v>
      </c>
      <c r="H17" s="70">
        <f>C17</f>
        <v>8.9599999999999991</v>
      </c>
      <c r="I17" s="168"/>
      <c r="J17" s="168"/>
      <c r="K17" s="168"/>
      <c r="M17" s="70"/>
      <c r="N17" s="63"/>
    </row>
    <row r="18" spans="1:14" s="25" customFormat="1" ht="15" x14ac:dyDescent="0.25">
      <c r="A18" s="8" t="s">
        <v>16</v>
      </c>
      <c r="B18" s="9" t="s">
        <v>17</v>
      </c>
      <c r="C18" s="92">
        <v>3.08</v>
      </c>
      <c r="D18" s="67">
        <f>D17*I18</f>
        <v>70341.098437500012</v>
      </c>
      <c r="E18" s="67">
        <f>E17*I18</f>
        <v>68045.55312500002</v>
      </c>
      <c r="F18" s="67">
        <f t="shared" si="0"/>
        <v>70341.098437500012</v>
      </c>
      <c r="G18" s="68">
        <f t="shared" ref="G18:G26" si="1">E18-D18</f>
        <v>-2295.5453124999913</v>
      </c>
      <c r="H18" s="70">
        <f t="shared" ref="H18:H21" si="2">C18</f>
        <v>3.08</v>
      </c>
      <c r="I18" s="32">
        <f>H18/H17</f>
        <v>0.34375000000000006</v>
      </c>
    </row>
    <row r="19" spans="1:14" s="25" customFormat="1" ht="15" x14ac:dyDescent="0.25">
      <c r="A19" s="8" t="s">
        <v>18</v>
      </c>
      <c r="B19" s="9" t="s">
        <v>19</v>
      </c>
      <c r="C19" s="92">
        <v>1.47</v>
      </c>
      <c r="D19" s="67">
        <f>D17*I19</f>
        <v>33571.887890625003</v>
      </c>
      <c r="E19" s="67">
        <f>E17*I19</f>
        <v>32476.286718750009</v>
      </c>
      <c r="F19" s="67">
        <f t="shared" si="0"/>
        <v>33571.887890625003</v>
      </c>
      <c r="G19" s="68">
        <f t="shared" si="1"/>
        <v>-1095.6011718749942</v>
      </c>
      <c r="H19" s="70">
        <f t="shared" si="2"/>
        <v>1.47</v>
      </c>
      <c r="I19" s="32">
        <f>H19/H17</f>
        <v>0.16406250000000003</v>
      </c>
    </row>
    <row r="20" spans="1:14" s="25" customFormat="1" ht="15" x14ac:dyDescent="0.25">
      <c r="A20" s="8" t="s">
        <v>20</v>
      </c>
      <c r="B20" s="9" t="s">
        <v>21</v>
      </c>
      <c r="C20" s="92">
        <v>1.81</v>
      </c>
      <c r="D20" s="67">
        <f>D17*I20</f>
        <v>41336.814341517864</v>
      </c>
      <c r="E20" s="67">
        <f>E17*I20</f>
        <v>39987.808816964294</v>
      </c>
      <c r="F20" s="67">
        <f t="shared" si="0"/>
        <v>41336.814341517864</v>
      </c>
      <c r="G20" s="68">
        <f t="shared" si="1"/>
        <v>-1349.0055245535696</v>
      </c>
      <c r="H20" s="70">
        <f t="shared" si="2"/>
        <v>1.81</v>
      </c>
      <c r="I20" s="32">
        <f>H20/H17</f>
        <v>0.2020089285714286</v>
      </c>
    </row>
    <row r="21" spans="1:14" s="25" customFormat="1" ht="15" x14ac:dyDescent="0.25">
      <c r="A21" s="8" t="s">
        <v>22</v>
      </c>
      <c r="B21" s="9" t="s">
        <v>23</v>
      </c>
      <c r="C21" s="92">
        <v>2.6</v>
      </c>
      <c r="D21" s="67">
        <f>D17*I21</f>
        <v>59378.849330357145</v>
      </c>
      <c r="E21" s="67">
        <f>E17*I21</f>
        <v>57441.051339285725</v>
      </c>
      <c r="F21" s="67">
        <f t="shared" si="0"/>
        <v>59378.849330357145</v>
      </c>
      <c r="G21" s="68">
        <f t="shared" si="1"/>
        <v>-1937.7979910714203</v>
      </c>
      <c r="H21" s="70">
        <f t="shared" si="2"/>
        <v>2.6</v>
      </c>
      <c r="I21" s="32">
        <f>H21/H17</f>
        <v>0.29017857142857145</v>
      </c>
    </row>
    <row r="22" spans="1:14" s="72" customFormat="1" ht="14.25" x14ac:dyDescent="0.2">
      <c r="A22" s="227" t="s">
        <v>25</v>
      </c>
      <c r="B22" s="227" t="s">
        <v>26</v>
      </c>
      <c r="C22" s="202">
        <v>0</v>
      </c>
      <c r="D22" s="172">
        <v>0</v>
      </c>
      <c r="E22" s="172">
        <v>0</v>
      </c>
      <c r="F22" s="172">
        <f t="shared" si="0"/>
        <v>0</v>
      </c>
      <c r="G22" s="172">
        <f t="shared" si="1"/>
        <v>0</v>
      </c>
      <c r="H22" s="173"/>
      <c r="I22" s="173"/>
      <c r="J22" s="173"/>
      <c r="K22" s="173"/>
    </row>
    <row r="23" spans="1:14" s="72" customFormat="1" ht="14.25" x14ac:dyDescent="0.2">
      <c r="A23" s="227" t="s">
        <v>27</v>
      </c>
      <c r="B23" s="227" t="s">
        <v>28</v>
      </c>
      <c r="C23" s="202">
        <v>4.5999999999999996</v>
      </c>
      <c r="D23" s="172">
        <v>105054.8</v>
      </c>
      <c r="E23" s="172">
        <v>102215.13</v>
      </c>
      <c r="F23" s="172">
        <f t="shared" si="0"/>
        <v>105054.8</v>
      </c>
      <c r="G23" s="172">
        <f t="shared" si="1"/>
        <v>-2839.6699999999983</v>
      </c>
      <c r="H23" s="173"/>
      <c r="I23" s="173"/>
      <c r="J23" s="173"/>
      <c r="K23" s="173"/>
    </row>
    <row r="24" spans="1:14" s="72" customFormat="1" ht="14.25" x14ac:dyDescent="0.2">
      <c r="A24" s="227" t="s">
        <v>29</v>
      </c>
      <c r="B24" s="227" t="s">
        <v>30</v>
      </c>
      <c r="C24" s="202">
        <v>0</v>
      </c>
      <c r="D24" s="172">
        <v>0</v>
      </c>
      <c r="E24" s="172">
        <v>0</v>
      </c>
      <c r="F24" s="172">
        <f t="shared" si="0"/>
        <v>0</v>
      </c>
      <c r="G24" s="172">
        <f t="shared" si="1"/>
        <v>0</v>
      </c>
      <c r="H24" s="173"/>
      <c r="I24" s="173"/>
      <c r="J24" s="173"/>
      <c r="K24" s="173"/>
    </row>
    <row r="25" spans="1:14" s="72" customFormat="1" ht="14.25" x14ac:dyDescent="0.2">
      <c r="A25" s="227" t="s">
        <v>31</v>
      </c>
      <c r="B25" s="227" t="s">
        <v>132</v>
      </c>
      <c r="C25" s="263">
        <v>1.82</v>
      </c>
      <c r="D25" s="172">
        <v>41565.050000000003</v>
      </c>
      <c r="E25" s="172">
        <v>40399.980000000003</v>
      </c>
      <c r="F25" s="172">
        <f>F40</f>
        <v>9974.6897999999983</v>
      </c>
      <c r="G25" s="172">
        <f>E25-D25</f>
        <v>-1165.0699999999997</v>
      </c>
      <c r="H25" s="173"/>
      <c r="I25" s="173"/>
      <c r="J25" s="173"/>
      <c r="K25" s="173"/>
    </row>
    <row r="26" spans="1:14" ht="14.25" x14ac:dyDescent="0.2">
      <c r="A26" s="137" t="s">
        <v>33</v>
      </c>
      <c r="B26" s="137" t="s">
        <v>248</v>
      </c>
      <c r="C26" s="201">
        <v>0</v>
      </c>
      <c r="D26" s="166">
        <v>0</v>
      </c>
      <c r="E26" s="166">
        <v>0</v>
      </c>
      <c r="F26" s="172">
        <f>D26</f>
        <v>0</v>
      </c>
      <c r="G26" s="166">
        <f t="shared" si="1"/>
        <v>0</v>
      </c>
      <c r="H26" s="37"/>
      <c r="I26" s="37"/>
      <c r="J26" s="37"/>
      <c r="K26" s="37"/>
    </row>
    <row r="27" spans="1:14" ht="14.25" x14ac:dyDescent="0.2">
      <c r="A27" s="137" t="s">
        <v>35</v>
      </c>
      <c r="B27" s="137" t="s">
        <v>36</v>
      </c>
      <c r="C27" s="201">
        <v>0</v>
      </c>
      <c r="D27" s="166">
        <f>SUM(D28:D31)</f>
        <v>1214502.2000000002</v>
      </c>
      <c r="E27" s="166">
        <f>SUM(E28:E31)</f>
        <v>1179456.52</v>
      </c>
      <c r="F27" s="166">
        <f>SUM(F28:F31)</f>
        <v>1214502.2000000002</v>
      </c>
      <c r="G27" s="166">
        <f>SUM(G28:G31)</f>
        <v>-35045.680000000073</v>
      </c>
      <c r="H27" s="37"/>
      <c r="I27" s="37"/>
      <c r="J27" s="37"/>
      <c r="K27" s="37"/>
    </row>
    <row r="28" spans="1:14" ht="15" x14ac:dyDescent="0.25">
      <c r="A28" s="9" t="s">
        <v>37</v>
      </c>
      <c r="B28" s="9" t="s">
        <v>263</v>
      </c>
      <c r="C28" s="250" t="s">
        <v>245</v>
      </c>
      <c r="D28" s="68">
        <v>14458.9</v>
      </c>
      <c r="E28" s="68">
        <v>14068.05</v>
      </c>
      <c r="F28" s="68">
        <f>D28</f>
        <v>14458.9</v>
      </c>
      <c r="G28" s="68">
        <f>E28-D28</f>
        <v>-390.85000000000036</v>
      </c>
    </row>
    <row r="29" spans="1:14" ht="15" x14ac:dyDescent="0.25">
      <c r="A29" s="9" t="s">
        <v>39</v>
      </c>
      <c r="B29" s="9" t="s">
        <v>171</v>
      </c>
      <c r="C29" s="237" t="s">
        <v>246</v>
      </c>
      <c r="D29" s="68">
        <v>161273.39000000001</v>
      </c>
      <c r="E29" s="68">
        <v>157603</v>
      </c>
      <c r="F29" s="68">
        <f>D29</f>
        <v>161273.39000000001</v>
      </c>
      <c r="G29" s="68">
        <f>E29-D29</f>
        <v>-3670.390000000014</v>
      </c>
    </row>
    <row r="30" spans="1:14" ht="15" x14ac:dyDescent="0.25">
      <c r="A30" s="9" t="s">
        <v>42</v>
      </c>
      <c r="B30" s="9" t="s">
        <v>173</v>
      </c>
      <c r="C30" s="236" t="s">
        <v>504</v>
      </c>
      <c r="D30" s="68">
        <v>282056.03000000003</v>
      </c>
      <c r="E30" s="68">
        <v>280093.77</v>
      </c>
      <c r="F30" s="68">
        <f>D30</f>
        <v>282056.03000000003</v>
      </c>
      <c r="G30" s="68">
        <f>E30-D30</f>
        <v>-1962.2600000000093</v>
      </c>
    </row>
    <row r="31" spans="1:14" ht="15" x14ac:dyDescent="0.25">
      <c r="A31" s="9" t="s">
        <v>41</v>
      </c>
      <c r="B31" s="9" t="s">
        <v>43</v>
      </c>
      <c r="C31" s="250" t="s">
        <v>247</v>
      </c>
      <c r="D31" s="68">
        <v>756713.88</v>
      </c>
      <c r="E31" s="68">
        <v>727691.7</v>
      </c>
      <c r="F31" s="68">
        <f>D31</f>
        <v>756713.88</v>
      </c>
      <c r="G31" s="68">
        <f>E31-D31</f>
        <v>-29022.180000000051</v>
      </c>
    </row>
    <row r="32" spans="1:14" s="20" customFormat="1" ht="7.5" customHeight="1" thickBot="1" x14ac:dyDescent="0.3">
      <c r="A32" s="46"/>
      <c r="B32" s="46"/>
      <c r="C32" s="46"/>
      <c r="D32" s="22"/>
      <c r="E32" s="22"/>
      <c r="F32" s="22"/>
      <c r="G32" s="22"/>
      <c r="H32" s="22"/>
      <c r="I32" s="22"/>
    </row>
    <row r="33" spans="1:12" s="15" customFormat="1" ht="15.75" thickBot="1" x14ac:dyDescent="0.3">
      <c r="A33" s="287" t="s">
        <v>241</v>
      </c>
      <c r="B33" s="288"/>
      <c r="C33" s="288"/>
      <c r="D33" s="73">
        <f>D12+D17+D22+D23+D24+D25+D26+D27-E17-E22-E23-E24-E25-E26-E27</f>
        <v>45728.370000000112</v>
      </c>
      <c r="E33" s="39"/>
      <c r="F33" s="39"/>
      <c r="G33" s="39"/>
      <c r="H33" s="40"/>
      <c r="I33" s="40"/>
    </row>
    <row r="34" spans="1:12" s="15" customFormat="1" ht="6" customHeight="1" thickBot="1" x14ac:dyDescent="0.3">
      <c r="A34" s="41"/>
      <c r="B34" s="41"/>
      <c r="C34" s="41"/>
      <c r="D34" s="42"/>
      <c r="E34" s="39"/>
      <c r="F34" s="39"/>
      <c r="G34" s="39"/>
      <c r="H34" s="40"/>
      <c r="I34" s="40"/>
    </row>
    <row r="35" spans="1:12" s="15" customFormat="1" ht="15.75" thickBot="1" x14ac:dyDescent="0.3">
      <c r="A35" s="266" t="s">
        <v>243</v>
      </c>
      <c r="B35" s="267"/>
      <c r="C35" s="267"/>
      <c r="D35" s="44"/>
      <c r="E35" s="45"/>
      <c r="F35" s="45"/>
      <c r="G35" s="38">
        <f>G14+E25-F25</f>
        <v>30425.290200000003</v>
      </c>
      <c r="H35" s="40"/>
      <c r="I35" s="40"/>
    </row>
    <row r="36" spans="1:12" s="20" customFormat="1" ht="13.5" x14ac:dyDescent="0.25">
      <c r="A36" s="21"/>
      <c r="B36" s="21"/>
      <c r="C36" s="21"/>
      <c r="D36" s="21"/>
      <c r="E36" s="22"/>
      <c r="F36" s="22"/>
      <c r="G36" s="22"/>
      <c r="H36" s="22"/>
      <c r="I36" s="22"/>
      <c r="J36" s="22"/>
      <c r="K36" s="22"/>
    </row>
    <row r="37" spans="1:12" ht="31.5" customHeight="1" x14ac:dyDescent="0.2">
      <c r="A37" s="289" t="s">
        <v>479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</row>
    <row r="39" spans="1:12" s="18" customFormat="1" ht="37.5" customHeight="1" x14ac:dyDescent="0.2">
      <c r="A39" s="268" t="s">
        <v>11</v>
      </c>
      <c r="B39" s="306" t="s">
        <v>45</v>
      </c>
      <c r="C39" s="307"/>
      <c r="D39" s="268" t="s">
        <v>254</v>
      </c>
      <c r="E39" s="268" t="s">
        <v>253</v>
      </c>
      <c r="F39" s="306" t="s">
        <v>46</v>
      </c>
      <c r="G39" s="307"/>
      <c r="H39" s="57"/>
      <c r="I39" s="58"/>
      <c r="L39" s="54"/>
    </row>
    <row r="40" spans="1:12" s="12" customFormat="1" ht="15" customHeight="1" x14ac:dyDescent="0.25">
      <c r="A40" s="11" t="s">
        <v>47</v>
      </c>
      <c r="B40" s="308" t="s">
        <v>127</v>
      </c>
      <c r="C40" s="309"/>
      <c r="D40" s="176"/>
      <c r="E40" s="176"/>
      <c r="F40" s="316">
        <f>SUM(F41:G44)</f>
        <v>9974.6897999999983</v>
      </c>
      <c r="G40" s="312"/>
      <c r="H40" s="59"/>
      <c r="I40" s="60"/>
      <c r="L40" s="55"/>
    </row>
    <row r="41" spans="1:12" ht="15" x14ac:dyDescent="0.25">
      <c r="A41" s="9" t="s">
        <v>16</v>
      </c>
      <c r="B41" s="298" t="s">
        <v>468</v>
      </c>
      <c r="C41" s="299"/>
      <c r="D41" s="177" t="s">
        <v>255</v>
      </c>
      <c r="E41" s="177">
        <v>1</v>
      </c>
      <c r="F41" s="329">
        <v>3580.56</v>
      </c>
      <c r="G41" s="330"/>
      <c r="H41" s="61"/>
      <c r="I41" s="62"/>
      <c r="L41" s="56"/>
    </row>
    <row r="42" spans="1:12" ht="15" x14ac:dyDescent="0.25">
      <c r="A42" s="9" t="s">
        <v>18</v>
      </c>
      <c r="B42" s="298" t="s">
        <v>505</v>
      </c>
      <c r="C42" s="299"/>
      <c r="D42" s="177" t="s">
        <v>262</v>
      </c>
      <c r="E42" s="177">
        <v>2</v>
      </c>
      <c r="F42" s="329">
        <v>1308</v>
      </c>
      <c r="G42" s="330"/>
      <c r="H42" s="90"/>
      <c r="I42" s="90"/>
      <c r="L42" s="56"/>
    </row>
    <row r="43" spans="1:12" ht="15" x14ac:dyDescent="0.25">
      <c r="A43" s="9" t="s">
        <v>20</v>
      </c>
      <c r="B43" s="298" t="s">
        <v>553</v>
      </c>
      <c r="C43" s="299"/>
      <c r="D43" s="177"/>
      <c r="E43" s="177"/>
      <c r="F43" s="329">
        <v>4682.13</v>
      </c>
      <c r="G43" s="330"/>
      <c r="H43" s="90"/>
      <c r="I43" s="90"/>
      <c r="L43" s="56"/>
    </row>
    <row r="44" spans="1:12" s="3" customFormat="1" ht="15" x14ac:dyDescent="0.25">
      <c r="A44" s="9" t="s">
        <v>20</v>
      </c>
      <c r="B44" s="327" t="s">
        <v>533</v>
      </c>
      <c r="C44" s="328"/>
      <c r="D44" s="246"/>
      <c r="E44" s="246"/>
      <c r="F44" s="317">
        <f>E25*1%</f>
        <v>403.99980000000005</v>
      </c>
      <c r="G44" s="317"/>
      <c r="H44" s="25"/>
      <c r="I44" s="25"/>
      <c r="J44" s="25"/>
      <c r="K44" s="25"/>
    </row>
    <row r="45" spans="1:12" s="25" customFormat="1" ht="9" customHeight="1" x14ac:dyDescent="0.2"/>
    <row r="46" spans="1:12" s="25" customFormat="1" ht="15" x14ac:dyDescent="0.25">
      <c r="A46" s="3" t="s">
        <v>55</v>
      </c>
      <c r="B46" s="3"/>
      <c r="C46" s="101" t="s">
        <v>49</v>
      </c>
      <c r="D46" s="3"/>
      <c r="E46" s="3"/>
      <c r="F46" s="3" t="s">
        <v>102</v>
      </c>
      <c r="G46" s="3"/>
      <c r="H46" s="3"/>
      <c r="I46" s="3"/>
      <c r="J46" s="3"/>
      <c r="K46" s="3"/>
    </row>
    <row r="47" spans="1:12" s="25" customFormat="1" ht="15" x14ac:dyDescent="0.25">
      <c r="A47" s="3"/>
      <c r="B47" s="3"/>
      <c r="C47" s="101"/>
      <c r="D47" s="3"/>
      <c r="E47" s="3"/>
      <c r="F47" s="4" t="s">
        <v>265</v>
      </c>
      <c r="G47" s="3"/>
    </row>
    <row r="48" spans="1:12" s="25" customFormat="1" ht="15" x14ac:dyDescent="0.25">
      <c r="A48" s="3" t="s">
        <v>50</v>
      </c>
      <c r="B48" s="3"/>
      <c r="C48" s="101"/>
      <c r="D48" s="3"/>
      <c r="E48" s="3"/>
      <c r="F48" s="3"/>
      <c r="G48" s="3"/>
      <c r="H48" s="34"/>
      <c r="I48" s="34"/>
      <c r="J48" s="34"/>
    </row>
    <row r="49" spans="1:11" ht="15" x14ac:dyDescent="0.25">
      <c r="A49" s="3"/>
      <c r="B49" s="3"/>
      <c r="C49" s="106" t="s">
        <v>51</v>
      </c>
      <c r="D49" s="3"/>
      <c r="E49" s="14"/>
      <c r="F49" s="14"/>
      <c r="G49" s="14"/>
      <c r="H49" s="25"/>
      <c r="I49" s="25"/>
      <c r="J49" s="25"/>
      <c r="K49" s="25"/>
    </row>
    <row r="50" spans="1:1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mergeCells count="22">
    <mergeCell ref="B44:C44"/>
    <mergeCell ref="F44:G44"/>
    <mergeCell ref="B40:C40"/>
    <mergeCell ref="F40:G40"/>
    <mergeCell ref="B41:C41"/>
    <mergeCell ref="F41:G41"/>
    <mergeCell ref="B42:C42"/>
    <mergeCell ref="F42:G42"/>
    <mergeCell ref="A10:K10"/>
    <mergeCell ref="B43:C43"/>
    <mergeCell ref="F43:G43"/>
    <mergeCell ref="A1:K1"/>
    <mergeCell ref="A2:K2"/>
    <mergeCell ref="A3:K3"/>
    <mergeCell ref="A5:K5"/>
    <mergeCell ref="A9:K9"/>
    <mergeCell ref="A11:K11"/>
    <mergeCell ref="A12:C12"/>
    <mergeCell ref="A33:C33"/>
    <mergeCell ref="A37:K37"/>
    <mergeCell ref="B39:C39"/>
    <mergeCell ref="F39:G39"/>
  </mergeCells>
  <pageMargins left="0.7" right="0.7" top="0.75" bottom="0.75" header="0.3" footer="0.3"/>
  <pageSetup paperSize="9" orientation="portrait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G14" sqref="G14"/>
    </sheetView>
  </sheetViews>
  <sheetFormatPr defaultRowHeight="12.75" outlineLevelCol="1" x14ac:dyDescent="0.2"/>
  <cols>
    <col min="1" max="1" width="6" style="23" customWidth="1"/>
    <col min="2" max="2" width="48.140625" style="23" customWidth="1"/>
    <col min="3" max="3" width="14" style="23" customWidth="1"/>
    <col min="4" max="4" width="14.85546875" style="23" customWidth="1"/>
    <col min="5" max="6" width="13.285156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customWidth="1" collapsed="1"/>
    <col min="12" max="12" width="9.140625" style="23"/>
    <col min="13" max="13" width="10" style="23" bestFit="1" customWidth="1"/>
    <col min="14" max="14" width="15.85546875" style="23" customWidth="1"/>
    <col min="15" max="16384" width="9.140625" style="23"/>
  </cols>
  <sheetData>
    <row r="1" spans="1:11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1" s="25" customFormat="1" ht="16.5" customHeight="1" x14ac:dyDescent="0.2">
      <c r="A7" s="25" t="s">
        <v>2</v>
      </c>
      <c r="F7" s="26" t="s">
        <v>506</v>
      </c>
      <c r="H7" s="26"/>
    </row>
    <row r="8" spans="1:11" s="25" customFormat="1" x14ac:dyDescent="0.2">
      <c r="A8" s="25" t="s">
        <v>3</v>
      </c>
      <c r="F8" s="26" t="s">
        <v>507</v>
      </c>
      <c r="H8" s="26"/>
    </row>
    <row r="9" spans="1:11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s="15" customFormat="1" ht="16.5" customHeight="1" thickBot="1" x14ac:dyDescent="0.3">
      <c r="A12" s="287" t="s">
        <v>508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266" t="s">
        <v>509</v>
      </c>
      <c r="B14" s="267"/>
      <c r="C14" s="267"/>
      <c r="D14" s="44"/>
      <c r="E14" s="45"/>
      <c r="F14" s="45"/>
      <c r="G14" s="73">
        <v>441286.85</v>
      </c>
      <c r="H14" s="40"/>
      <c r="I14" s="40"/>
    </row>
    <row r="15" spans="1:11" s="25" customFormat="1" ht="6.75" customHeight="1" x14ac:dyDescent="0.2"/>
    <row r="16" spans="1:11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4" s="25" customFormat="1" ht="14.25" x14ac:dyDescent="0.2">
      <c r="A17" s="187" t="s">
        <v>14</v>
      </c>
      <c r="B17" s="137" t="s">
        <v>15</v>
      </c>
      <c r="C17" s="241">
        <f>C18+C19+C20+C21+C22</f>
        <v>9.4499999999999993</v>
      </c>
      <c r="D17" s="165">
        <v>436469.34</v>
      </c>
      <c r="E17" s="165">
        <v>363376.6</v>
      </c>
      <c r="F17" s="165">
        <f t="shared" ref="F17:F25" si="0">D17</f>
        <v>436469.34</v>
      </c>
      <c r="G17" s="166">
        <f>E17-D17</f>
        <v>-73092.740000000049</v>
      </c>
      <c r="H17" s="70">
        <f>C17</f>
        <v>9.4499999999999993</v>
      </c>
      <c r="I17" s="168"/>
      <c r="J17" s="168"/>
      <c r="K17" s="168"/>
      <c r="M17" s="70"/>
      <c r="N17" s="63"/>
    </row>
    <row r="18" spans="1:14" s="25" customFormat="1" ht="15" x14ac:dyDescent="0.25">
      <c r="A18" s="8" t="s">
        <v>16</v>
      </c>
      <c r="B18" s="9" t="s">
        <v>17</v>
      </c>
      <c r="C18" s="92">
        <v>3.08</v>
      </c>
      <c r="D18" s="67">
        <f>D17*I18</f>
        <v>142256.67377777779</v>
      </c>
      <c r="E18" s="67">
        <f>E17*I18</f>
        <v>118433.85481481481</v>
      </c>
      <c r="F18" s="67">
        <f t="shared" si="0"/>
        <v>142256.67377777779</v>
      </c>
      <c r="G18" s="68">
        <f t="shared" ref="G18:G27" si="1">E18-D18</f>
        <v>-23822.818962962978</v>
      </c>
      <c r="H18" s="70">
        <f t="shared" ref="H18:H22" si="2">C18</f>
        <v>3.08</v>
      </c>
      <c r="I18" s="32">
        <f>H18/H17</f>
        <v>0.32592592592592595</v>
      </c>
    </row>
    <row r="19" spans="1:14" s="25" customFormat="1" ht="15" x14ac:dyDescent="0.25">
      <c r="A19" s="8" t="s">
        <v>18</v>
      </c>
      <c r="B19" s="9" t="s">
        <v>19</v>
      </c>
      <c r="C19" s="92">
        <v>1.47</v>
      </c>
      <c r="D19" s="67">
        <f>D17*I19</f>
        <v>67895.23066666667</v>
      </c>
      <c r="E19" s="67">
        <f>E17*I19</f>
        <v>56525.248888888884</v>
      </c>
      <c r="F19" s="67">
        <f t="shared" si="0"/>
        <v>67895.23066666667</v>
      </c>
      <c r="G19" s="68">
        <f t="shared" si="1"/>
        <v>-11369.981777777786</v>
      </c>
      <c r="H19" s="70">
        <f t="shared" si="2"/>
        <v>1.47</v>
      </c>
      <c r="I19" s="32">
        <f>H19/H17</f>
        <v>0.15555555555555556</v>
      </c>
    </row>
    <row r="20" spans="1:14" s="25" customFormat="1" ht="15" x14ac:dyDescent="0.25">
      <c r="A20" s="8" t="s">
        <v>20</v>
      </c>
      <c r="B20" s="9" t="s">
        <v>21</v>
      </c>
      <c r="C20" s="92">
        <f>1.81-0.13</f>
        <v>1.6800000000000002</v>
      </c>
      <c r="D20" s="67">
        <f>D17*I20</f>
        <v>77594.549333333358</v>
      </c>
      <c r="E20" s="67">
        <f>E17*I20</f>
        <v>64600.284444444456</v>
      </c>
      <c r="F20" s="67">
        <f t="shared" si="0"/>
        <v>77594.549333333358</v>
      </c>
      <c r="G20" s="68">
        <f t="shared" si="1"/>
        <v>-12994.264888888902</v>
      </c>
      <c r="H20" s="70">
        <f t="shared" si="2"/>
        <v>1.6800000000000002</v>
      </c>
      <c r="I20" s="32">
        <f>H20/H17</f>
        <v>0.17777777777777781</v>
      </c>
    </row>
    <row r="21" spans="1:14" s="25" customFormat="1" ht="15" x14ac:dyDescent="0.25">
      <c r="A21" s="8" t="s">
        <v>22</v>
      </c>
      <c r="B21" s="9" t="s">
        <v>23</v>
      </c>
      <c r="C21" s="92">
        <v>2.6</v>
      </c>
      <c r="D21" s="67">
        <f>D17*I21</f>
        <v>120086.80253968257</v>
      </c>
      <c r="E21" s="67">
        <f>E17*I21</f>
        <v>99976.630687830693</v>
      </c>
      <c r="F21" s="67">
        <f t="shared" si="0"/>
        <v>120086.80253968257</v>
      </c>
      <c r="G21" s="68">
        <f t="shared" si="1"/>
        <v>-20110.171851851876</v>
      </c>
      <c r="H21" s="70">
        <f t="shared" si="2"/>
        <v>2.6</v>
      </c>
      <c r="I21" s="32">
        <f>H21/H17</f>
        <v>0.27513227513227517</v>
      </c>
    </row>
    <row r="22" spans="1:14" s="25" customFormat="1" ht="15" x14ac:dyDescent="0.25">
      <c r="A22" s="8" t="s">
        <v>24</v>
      </c>
      <c r="B22" s="9" t="s">
        <v>511</v>
      </c>
      <c r="C22" s="92">
        <v>0.62</v>
      </c>
      <c r="D22" s="67">
        <f>D17*I22</f>
        <v>28636.083682539687</v>
      </c>
      <c r="E22" s="67">
        <f>E17*I22</f>
        <v>23840.581164021165</v>
      </c>
      <c r="F22" s="67">
        <f t="shared" si="0"/>
        <v>28636.083682539687</v>
      </c>
      <c r="G22" s="68">
        <f t="shared" ref="G22" si="3">E22-D22</f>
        <v>-4795.5025185185223</v>
      </c>
      <c r="H22" s="70">
        <f t="shared" si="2"/>
        <v>0.62</v>
      </c>
      <c r="I22" s="32">
        <f>H22/H17</f>
        <v>6.5608465608465616E-2</v>
      </c>
    </row>
    <row r="23" spans="1:14" s="72" customFormat="1" ht="14.25" x14ac:dyDescent="0.2">
      <c r="A23" s="227" t="s">
        <v>25</v>
      </c>
      <c r="B23" s="227" t="s">
        <v>26</v>
      </c>
      <c r="C23" s="202">
        <v>3.43</v>
      </c>
      <c r="D23" s="172">
        <v>158422.1</v>
      </c>
      <c r="E23" s="172">
        <v>131892.26999999999</v>
      </c>
      <c r="F23" s="172">
        <f t="shared" si="0"/>
        <v>158422.1</v>
      </c>
      <c r="G23" s="172">
        <f t="shared" si="1"/>
        <v>-26529.830000000016</v>
      </c>
      <c r="H23" s="173"/>
      <c r="I23" s="173"/>
      <c r="J23" s="173"/>
      <c r="K23" s="173"/>
    </row>
    <row r="24" spans="1:14" s="72" customFormat="1" ht="14.25" x14ac:dyDescent="0.2">
      <c r="A24" s="227" t="s">
        <v>27</v>
      </c>
      <c r="B24" s="227" t="s">
        <v>28</v>
      </c>
      <c r="C24" s="202">
        <v>4.5999999999999996</v>
      </c>
      <c r="D24" s="172">
        <v>212460.2</v>
      </c>
      <c r="E24" s="172">
        <v>176880.95</v>
      </c>
      <c r="F24" s="172">
        <f t="shared" si="0"/>
        <v>212460.2</v>
      </c>
      <c r="G24" s="172">
        <f t="shared" si="1"/>
        <v>-35579.25</v>
      </c>
      <c r="H24" s="173"/>
      <c r="I24" s="173"/>
      <c r="J24" s="173"/>
      <c r="K24" s="173"/>
    </row>
    <row r="25" spans="1:14" s="72" customFormat="1" ht="14.25" x14ac:dyDescent="0.2">
      <c r="A25" s="227" t="s">
        <v>29</v>
      </c>
      <c r="B25" s="227" t="s">
        <v>170</v>
      </c>
      <c r="C25" s="202">
        <v>0</v>
      </c>
      <c r="D25" s="172">
        <v>92100</v>
      </c>
      <c r="E25" s="172">
        <v>76882.12</v>
      </c>
      <c r="F25" s="172">
        <f t="shared" si="0"/>
        <v>92100</v>
      </c>
      <c r="G25" s="172">
        <f t="shared" si="1"/>
        <v>-15217.880000000005</v>
      </c>
      <c r="H25" s="173"/>
      <c r="I25" s="173"/>
      <c r="J25" s="173"/>
      <c r="K25" s="173"/>
    </row>
    <row r="26" spans="1:14" s="72" customFormat="1" ht="14.25" x14ac:dyDescent="0.2">
      <c r="A26" s="227" t="s">
        <v>31</v>
      </c>
      <c r="B26" s="227" t="s">
        <v>132</v>
      </c>
      <c r="C26" s="263">
        <v>1.82</v>
      </c>
      <c r="D26" s="172">
        <v>84060.24</v>
      </c>
      <c r="E26" s="172">
        <v>69983.240000000005</v>
      </c>
      <c r="F26" s="172">
        <f>F41</f>
        <v>54658.972399999999</v>
      </c>
      <c r="G26" s="172">
        <f>E26-D26</f>
        <v>-14077</v>
      </c>
      <c r="H26" s="173"/>
      <c r="I26" s="173"/>
      <c r="J26" s="173"/>
      <c r="K26" s="173"/>
    </row>
    <row r="27" spans="1:14" ht="14.25" x14ac:dyDescent="0.2">
      <c r="A27" s="137" t="s">
        <v>33</v>
      </c>
      <c r="B27" s="137" t="s">
        <v>248</v>
      </c>
      <c r="C27" s="201">
        <v>1755.25</v>
      </c>
      <c r="D27" s="166">
        <v>1846.76</v>
      </c>
      <c r="E27" s="166">
        <v>1627.95</v>
      </c>
      <c r="F27" s="172">
        <f>D27</f>
        <v>1846.76</v>
      </c>
      <c r="G27" s="166">
        <f t="shared" si="1"/>
        <v>-218.80999999999995</v>
      </c>
      <c r="H27" s="37"/>
      <c r="I27" s="37"/>
      <c r="J27" s="37"/>
      <c r="K27" s="37"/>
    </row>
    <row r="28" spans="1:14" ht="14.25" x14ac:dyDescent="0.2">
      <c r="A28" s="137" t="s">
        <v>35</v>
      </c>
      <c r="B28" s="137" t="s">
        <v>36</v>
      </c>
      <c r="C28" s="201">
        <v>0</v>
      </c>
      <c r="D28" s="166">
        <f>SUM(D29:D32)</f>
        <v>2715734.38</v>
      </c>
      <c r="E28" s="166">
        <f>SUM(E29:E32)</f>
        <v>2261547.17</v>
      </c>
      <c r="F28" s="166">
        <f>SUM(F29:F32)</f>
        <v>2715734.38</v>
      </c>
      <c r="G28" s="166">
        <f>SUM(G29:G32)</f>
        <v>-454187.20999999985</v>
      </c>
      <c r="H28" s="37"/>
      <c r="I28" s="37"/>
      <c r="J28" s="37"/>
      <c r="K28" s="37"/>
    </row>
    <row r="29" spans="1:14" ht="15" x14ac:dyDescent="0.25">
      <c r="A29" s="9" t="s">
        <v>37</v>
      </c>
      <c r="B29" s="9" t="s">
        <v>398</v>
      </c>
      <c r="C29" s="250" t="s">
        <v>375</v>
      </c>
      <c r="D29" s="68">
        <v>363026.77</v>
      </c>
      <c r="E29" s="68">
        <v>308994</v>
      </c>
      <c r="F29" s="68">
        <f>D29</f>
        <v>363026.77</v>
      </c>
      <c r="G29" s="68">
        <f>E29-D29</f>
        <v>-54032.770000000019</v>
      </c>
    </row>
    <row r="30" spans="1:14" ht="15" x14ac:dyDescent="0.25">
      <c r="A30" s="9" t="s">
        <v>39</v>
      </c>
      <c r="B30" s="9" t="s">
        <v>171</v>
      </c>
      <c r="C30" s="237" t="s">
        <v>246</v>
      </c>
      <c r="D30" s="68">
        <v>164167.75</v>
      </c>
      <c r="E30" s="68">
        <v>143624.62</v>
      </c>
      <c r="F30" s="68">
        <f>D30</f>
        <v>164167.75</v>
      </c>
      <c r="G30" s="68">
        <f>E30-D30</f>
        <v>-20543.130000000005</v>
      </c>
    </row>
    <row r="31" spans="1:14" ht="15" x14ac:dyDescent="0.25">
      <c r="A31" s="9" t="s">
        <v>42</v>
      </c>
      <c r="B31" s="9" t="s">
        <v>173</v>
      </c>
      <c r="C31" s="236">
        <v>113.05</v>
      </c>
      <c r="D31" s="68">
        <v>257897.19</v>
      </c>
      <c r="E31" s="68">
        <v>228980.44</v>
      </c>
      <c r="F31" s="68">
        <f>D31</f>
        <v>257897.19</v>
      </c>
      <c r="G31" s="68">
        <f>E31-D31</f>
        <v>-28916.75</v>
      </c>
    </row>
    <row r="32" spans="1:14" ht="15" x14ac:dyDescent="0.25">
      <c r="A32" s="9" t="s">
        <v>41</v>
      </c>
      <c r="B32" s="9" t="s">
        <v>43</v>
      </c>
      <c r="C32" s="250" t="s">
        <v>510</v>
      </c>
      <c r="D32" s="68">
        <v>1930642.67</v>
      </c>
      <c r="E32" s="68">
        <v>1579948.11</v>
      </c>
      <c r="F32" s="68">
        <f>D32</f>
        <v>1930642.67</v>
      </c>
      <c r="G32" s="68">
        <f>E32-D32</f>
        <v>-350694.55999999982</v>
      </c>
    </row>
    <row r="33" spans="1:12" s="20" customFormat="1" ht="7.5" customHeight="1" thickBot="1" x14ac:dyDescent="0.3">
      <c r="A33" s="46"/>
      <c r="B33" s="46"/>
      <c r="C33" s="46"/>
      <c r="D33" s="22"/>
      <c r="E33" s="22"/>
      <c r="F33" s="22"/>
      <c r="G33" s="22"/>
      <c r="H33" s="22"/>
      <c r="I33" s="22"/>
    </row>
    <row r="34" spans="1:12" s="15" customFormat="1" ht="15.75" thickBot="1" x14ac:dyDescent="0.3">
      <c r="A34" s="287" t="s">
        <v>241</v>
      </c>
      <c r="B34" s="288"/>
      <c r="C34" s="288"/>
      <c r="D34" s="73">
        <f>D12+D17+D23+D24+D25+D26+D27+D28-E17-E23-E24-E25-E26-E27-E28</f>
        <v>618902.71999999927</v>
      </c>
      <c r="E34" s="39"/>
      <c r="F34" s="39"/>
      <c r="G34" s="39"/>
      <c r="H34" s="40"/>
      <c r="I34" s="40"/>
    </row>
    <row r="35" spans="1:12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2" s="15" customFormat="1" ht="15.75" thickBot="1" x14ac:dyDescent="0.3">
      <c r="A36" s="266" t="s">
        <v>243</v>
      </c>
      <c r="B36" s="267"/>
      <c r="C36" s="267"/>
      <c r="D36" s="44"/>
      <c r="E36" s="45"/>
      <c r="F36" s="45"/>
      <c r="G36" s="38">
        <f>G14+E26-F26</f>
        <v>456611.1176</v>
      </c>
      <c r="H36" s="40"/>
      <c r="I36" s="40"/>
    </row>
    <row r="37" spans="1:12" s="20" customFormat="1" ht="13.5" x14ac:dyDescent="0.2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2" ht="31.5" customHeight="1" x14ac:dyDescent="0.2">
      <c r="A38" s="289" t="s">
        <v>479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40" spans="1:12" s="18" customFormat="1" ht="37.5" customHeight="1" x14ac:dyDescent="0.2">
      <c r="A40" s="268" t="s">
        <v>11</v>
      </c>
      <c r="B40" s="306" t="s">
        <v>45</v>
      </c>
      <c r="C40" s="307"/>
      <c r="D40" s="268" t="s">
        <v>254</v>
      </c>
      <c r="E40" s="268" t="s">
        <v>253</v>
      </c>
      <c r="F40" s="306" t="s">
        <v>46</v>
      </c>
      <c r="G40" s="307"/>
      <c r="H40" s="57"/>
      <c r="I40" s="58"/>
      <c r="L40" s="54"/>
    </row>
    <row r="41" spans="1:12" s="12" customFormat="1" ht="15" customHeight="1" x14ac:dyDescent="0.25">
      <c r="A41" s="11" t="s">
        <v>47</v>
      </c>
      <c r="B41" s="308" t="s">
        <v>127</v>
      </c>
      <c r="C41" s="309"/>
      <c r="D41" s="176"/>
      <c r="E41" s="176"/>
      <c r="F41" s="316">
        <f>SUM(F42:G46)</f>
        <v>54658.972399999999</v>
      </c>
      <c r="G41" s="312"/>
      <c r="H41" s="59"/>
      <c r="I41" s="60"/>
      <c r="L41" s="55"/>
    </row>
    <row r="42" spans="1:12" ht="15" x14ac:dyDescent="0.25">
      <c r="A42" s="9" t="s">
        <v>16</v>
      </c>
      <c r="B42" s="298" t="s">
        <v>512</v>
      </c>
      <c r="C42" s="299"/>
      <c r="D42" s="177" t="s">
        <v>262</v>
      </c>
      <c r="E42" s="177">
        <v>1</v>
      </c>
      <c r="F42" s="329">
        <v>13521.92</v>
      </c>
      <c r="G42" s="330"/>
      <c r="H42" s="61"/>
      <c r="I42" s="62"/>
      <c r="L42" s="56"/>
    </row>
    <row r="43" spans="1:12" ht="15" x14ac:dyDescent="0.25">
      <c r="A43" s="9" t="s">
        <v>18</v>
      </c>
      <c r="B43" s="298" t="s">
        <v>513</v>
      </c>
      <c r="C43" s="299"/>
      <c r="D43" s="177" t="s">
        <v>514</v>
      </c>
      <c r="E43" s="177"/>
      <c r="F43" s="329">
        <v>2433.85</v>
      </c>
      <c r="G43" s="330"/>
      <c r="H43" s="90"/>
      <c r="I43" s="90"/>
      <c r="L43" s="56"/>
    </row>
    <row r="44" spans="1:12" ht="15" x14ac:dyDescent="0.25">
      <c r="A44" s="9" t="s">
        <v>20</v>
      </c>
      <c r="B44" s="298" t="s">
        <v>515</v>
      </c>
      <c r="C44" s="299"/>
      <c r="D44" s="177" t="s">
        <v>262</v>
      </c>
      <c r="E44" s="177">
        <v>1</v>
      </c>
      <c r="F44" s="329">
        <v>34752.370000000003</v>
      </c>
      <c r="G44" s="330"/>
      <c r="H44" s="90"/>
      <c r="I44" s="90"/>
      <c r="L44" s="56"/>
    </row>
    <row r="45" spans="1:12" ht="15" x14ac:dyDescent="0.25">
      <c r="A45" s="9" t="s">
        <v>22</v>
      </c>
      <c r="B45" s="298" t="s">
        <v>516</v>
      </c>
      <c r="C45" s="299"/>
      <c r="D45" s="177" t="s">
        <v>262</v>
      </c>
      <c r="E45" s="177">
        <v>7</v>
      </c>
      <c r="F45" s="329">
        <v>3251</v>
      </c>
      <c r="G45" s="330"/>
      <c r="H45" s="90"/>
      <c r="I45" s="90"/>
      <c r="L45" s="56"/>
    </row>
    <row r="46" spans="1:12" s="3" customFormat="1" ht="15" x14ac:dyDescent="0.25">
      <c r="A46" s="9" t="s">
        <v>24</v>
      </c>
      <c r="B46" s="327" t="s">
        <v>533</v>
      </c>
      <c r="C46" s="328"/>
      <c r="D46" s="246"/>
      <c r="E46" s="246"/>
      <c r="F46" s="317">
        <f>E26*1%</f>
        <v>699.83240000000012</v>
      </c>
      <c r="G46" s="317"/>
      <c r="H46" s="25"/>
      <c r="I46" s="25"/>
      <c r="J46" s="25"/>
      <c r="K46" s="25"/>
    </row>
    <row r="47" spans="1:12" s="25" customFormat="1" ht="9" customHeight="1" x14ac:dyDescent="0.2"/>
    <row r="48" spans="1:12" s="25" customFormat="1" ht="15" x14ac:dyDescent="0.25">
      <c r="A48" s="3" t="s">
        <v>55</v>
      </c>
      <c r="B48" s="3"/>
      <c r="C48" s="101" t="s">
        <v>49</v>
      </c>
      <c r="D48" s="3"/>
      <c r="E48" s="3"/>
      <c r="F48" s="3" t="s">
        <v>102</v>
      </c>
      <c r="G48" s="3"/>
      <c r="H48" s="3"/>
      <c r="I48" s="3"/>
      <c r="J48" s="3"/>
      <c r="K48" s="3"/>
    </row>
    <row r="49" spans="1:11" s="25" customFormat="1" ht="15" x14ac:dyDescent="0.25">
      <c r="A49" s="3"/>
      <c r="B49" s="3"/>
      <c r="C49" s="101"/>
      <c r="D49" s="3"/>
      <c r="E49" s="3"/>
      <c r="F49" s="4" t="s">
        <v>265</v>
      </c>
      <c r="G49" s="3"/>
    </row>
    <row r="50" spans="1:11" s="25" customFormat="1" ht="15" x14ac:dyDescent="0.25">
      <c r="A50" s="3" t="s">
        <v>50</v>
      </c>
      <c r="B50" s="3"/>
      <c r="C50" s="101"/>
      <c r="D50" s="3"/>
      <c r="E50" s="3"/>
      <c r="F50" s="3"/>
      <c r="G50" s="3"/>
      <c r="H50" s="34"/>
      <c r="I50" s="34"/>
      <c r="J50" s="34"/>
    </row>
    <row r="51" spans="1:11" ht="15" x14ac:dyDescent="0.25">
      <c r="A51" s="3"/>
      <c r="B51" s="3"/>
      <c r="C51" s="106" t="s">
        <v>51</v>
      </c>
      <c r="D51" s="3"/>
      <c r="E51" s="14"/>
      <c r="F51" s="14"/>
      <c r="G51" s="14"/>
      <c r="H51" s="25"/>
      <c r="I51" s="25"/>
      <c r="J51" s="25"/>
      <c r="K51" s="25"/>
    </row>
    <row r="52" spans="1:1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</sheetData>
  <mergeCells count="24">
    <mergeCell ref="B46:C46"/>
    <mergeCell ref="F46:G46"/>
    <mergeCell ref="B44:C44"/>
    <mergeCell ref="F44:G44"/>
    <mergeCell ref="B45:C45"/>
    <mergeCell ref="F45:G45"/>
    <mergeCell ref="B41:C41"/>
    <mergeCell ref="F41:G41"/>
    <mergeCell ref="B42:C42"/>
    <mergeCell ref="F42:G42"/>
    <mergeCell ref="B43:C43"/>
    <mergeCell ref="F43:G43"/>
    <mergeCell ref="A11:K11"/>
    <mergeCell ref="A12:C12"/>
    <mergeCell ref="A34:C34"/>
    <mergeCell ref="A38:K38"/>
    <mergeCell ref="B40:C40"/>
    <mergeCell ref="F40:G40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  <pageSetup paperSize="9" orientation="portrait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F46" sqref="F46:G46"/>
    </sheetView>
  </sheetViews>
  <sheetFormatPr defaultRowHeight="12.75" outlineLevelCol="1" x14ac:dyDescent="0.2"/>
  <cols>
    <col min="1" max="1" width="6" style="23" customWidth="1"/>
    <col min="2" max="2" width="47.140625" style="23" customWidth="1"/>
    <col min="3" max="3" width="10" style="23" customWidth="1"/>
    <col min="4" max="4" width="14.85546875" style="23" customWidth="1"/>
    <col min="5" max="6" width="13.28515625" style="23" customWidth="1"/>
    <col min="7" max="7" width="14.5703125" style="23" customWidth="1"/>
    <col min="8" max="9" width="11.5703125" style="23" hidden="1" customWidth="1" outlineLevel="1"/>
    <col min="10" max="10" width="10.140625" style="23" hidden="1" customWidth="1" outlineLevel="1"/>
    <col min="11" max="11" width="10.42578125" style="23" customWidth="1" collapsed="1"/>
    <col min="12" max="12" width="9.140625" style="23"/>
    <col min="13" max="13" width="10" style="23" bestFit="1" customWidth="1"/>
    <col min="14" max="14" width="15.85546875" style="23" customWidth="1"/>
    <col min="15" max="16384" width="9.140625" style="23"/>
  </cols>
  <sheetData>
    <row r="1" spans="1:11" x14ac:dyDescent="0.2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x14ac:dyDescent="0.2">
      <c r="A2" s="293" t="s">
        <v>52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3.5" customHeight="1" x14ac:dyDescent="0.2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9" customHeight="1" x14ac:dyDescent="0.2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6.5" customHeight="1" x14ac:dyDescent="0.2">
      <c r="A5" s="289" t="s">
        <v>1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7" spans="1:11" s="25" customFormat="1" ht="16.5" customHeight="1" x14ac:dyDescent="0.2">
      <c r="A7" s="25" t="s">
        <v>2</v>
      </c>
      <c r="F7" s="26" t="s">
        <v>517</v>
      </c>
      <c r="H7" s="26"/>
    </row>
    <row r="8" spans="1:11" s="25" customFormat="1" x14ac:dyDescent="0.2">
      <c r="A8" s="25" t="s">
        <v>3</v>
      </c>
      <c r="F8" s="26" t="s">
        <v>518</v>
      </c>
      <c r="H8" s="26"/>
    </row>
    <row r="9" spans="1:11" s="25" customFormat="1" x14ac:dyDescent="0.2">
      <c r="A9" s="286" t="s">
        <v>8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</row>
    <row r="10" spans="1:11" s="25" customFormat="1" x14ac:dyDescent="0.2">
      <c r="A10" s="286" t="s">
        <v>9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1" s="25" customFormat="1" ht="13.5" thickBot="1" x14ac:dyDescent="0.25">
      <c r="A11" s="286" t="s">
        <v>10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s="15" customFormat="1" ht="16.5" customHeight="1" thickBot="1" x14ac:dyDescent="0.3">
      <c r="A12" s="287" t="s">
        <v>508</v>
      </c>
      <c r="B12" s="288"/>
      <c r="C12" s="288"/>
      <c r="D12" s="73">
        <v>0</v>
      </c>
      <c r="E12" s="39"/>
      <c r="F12" s="39"/>
      <c r="G12" s="39"/>
      <c r="H12" s="40"/>
      <c r="I12" s="40"/>
    </row>
    <row r="13" spans="1:11" s="15" customFormat="1" ht="6" customHeight="1" thickBot="1" x14ac:dyDescent="0.3">
      <c r="A13" s="41"/>
      <c r="B13" s="41"/>
      <c r="C13" s="41"/>
      <c r="D13" s="42"/>
      <c r="E13" s="39"/>
      <c r="F13" s="39"/>
      <c r="G13" s="39"/>
      <c r="H13" s="40"/>
      <c r="I13" s="40"/>
    </row>
    <row r="14" spans="1:11" s="15" customFormat="1" ht="15.75" thickBot="1" x14ac:dyDescent="0.3">
      <c r="A14" s="266" t="s">
        <v>509</v>
      </c>
      <c r="B14" s="267"/>
      <c r="C14" s="267"/>
      <c r="D14" s="44"/>
      <c r="E14" s="45"/>
      <c r="F14" s="45"/>
      <c r="G14" s="73">
        <v>0</v>
      </c>
      <c r="H14" s="40"/>
      <c r="I14" s="40"/>
    </row>
    <row r="15" spans="1:11" s="25" customFormat="1" ht="6.75" customHeight="1" x14ac:dyDescent="0.2"/>
    <row r="16" spans="1:11" s="18" customFormat="1" ht="38.25" x14ac:dyDescent="0.25">
      <c r="A16" s="6" t="s">
        <v>11</v>
      </c>
      <c r="B16" s="6" t="s">
        <v>12</v>
      </c>
      <c r="C16" s="6" t="s">
        <v>103</v>
      </c>
      <c r="D16" s="6" t="s">
        <v>252</v>
      </c>
      <c r="E16" s="6" t="s">
        <v>249</v>
      </c>
      <c r="F16" s="17" t="s">
        <v>257</v>
      </c>
      <c r="G16" s="6" t="s">
        <v>251</v>
      </c>
    </row>
    <row r="17" spans="1:14" s="25" customFormat="1" ht="28.5" x14ac:dyDescent="0.2">
      <c r="A17" s="187" t="s">
        <v>14</v>
      </c>
      <c r="B17" s="137" t="s">
        <v>15</v>
      </c>
      <c r="C17" s="241">
        <f>C18+C19+C20+C21+C22</f>
        <v>11.079999999999998</v>
      </c>
      <c r="D17" s="165">
        <v>304840.68</v>
      </c>
      <c r="E17" s="165">
        <v>277230.12</v>
      </c>
      <c r="F17" s="165">
        <f t="shared" ref="F17:F25" si="0">D17</f>
        <v>304840.68</v>
      </c>
      <c r="G17" s="166">
        <f>E17-D17</f>
        <v>-27610.559999999998</v>
      </c>
      <c r="H17" s="70">
        <f>C17</f>
        <v>11.079999999999998</v>
      </c>
      <c r="I17" s="168"/>
      <c r="J17" s="168"/>
      <c r="K17" s="168"/>
      <c r="M17" s="70"/>
      <c r="N17" s="63"/>
    </row>
    <row r="18" spans="1:14" s="25" customFormat="1" ht="15" x14ac:dyDescent="0.25">
      <c r="A18" s="8" t="s">
        <v>16</v>
      </c>
      <c r="B18" s="9" t="s">
        <v>17</v>
      </c>
      <c r="C18" s="92">
        <v>3.08</v>
      </c>
      <c r="D18" s="67">
        <f>D17*I18</f>
        <v>84739.105992779805</v>
      </c>
      <c r="E18" s="67">
        <f>E17*I18</f>
        <v>77063.968375451281</v>
      </c>
      <c r="F18" s="67">
        <f t="shared" si="0"/>
        <v>84739.105992779805</v>
      </c>
      <c r="G18" s="68">
        <f t="shared" ref="G18:G27" si="1">E18-D18</f>
        <v>-7675.1376173285244</v>
      </c>
      <c r="H18" s="70">
        <f t="shared" ref="H18:H22" si="2">C18</f>
        <v>3.08</v>
      </c>
      <c r="I18" s="32">
        <f>H18/H17</f>
        <v>0.27797833935018057</v>
      </c>
    </row>
    <row r="19" spans="1:14" s="25" customFormat="1" ht="15" x14ac:dyDescent="0.25">
      <c r="A19" s="8" t="s">
        <v>18</v>
      </c>
      <c r="B19" s="9" t="s">
        <v>19</v>
      </c>
      <c r="C19" s="92">
        <v>1.47</v>
      </c>
      <c r="D19" s="67">
        <f>D17*I19</f>
        <v>40443.664223826723</v>
      </c>
      <c r="E19" s="67">
        <f>E17*I19</f>
        <v>36780.530361010839</v>
      </c>
      <c r="F19" s="67">
        <f t="shared" si="0"/>
        <v>40443.664223826723</v>
      </c>
      <c r="G19" s="68">
        <f t="shared" si="1"/>
        <v>-3663.1338628158846</v>
      </c>
      <c r="H19" s="70">
        <f t="shared" si="2"/>
        <v>1.47</v>
      </c>
      <c r="I19" s="32">
        <f>H19/H17</f>
        <v>0.13267148014440436</v>
      </c>
    </row>
    <row r="20" spans="1:14" s="25" customFormat="1" ht="15" x14ac:dyDescent="0.25">
      <c r="A20" s="8" t="s">
        <v>20</v>
      </c>
      <c r="B20" s="9" t="s">
        <v>21</v>
      </c>
      <c r="C20" s="92">
        <v>1.81</v>
      </c>
      <c r="D20" s="67">
        <f>D17*I20</f>
        <v>49797.981119133576</v>
      </c>
      <c r="E20" s="67">
        <f>E17*I20</f>
        <v>45287.591805054159</v>
      </c>
      <c r="F20" s="67">
        <f t="shared" si="0"/>
        <v>49797.981119133576</v>
      </c>
      <c r="G20" s="68">
        <f t="shared" si="1"/>
        <v>-4510.3893140794171</v>
      </c>
      <c r="H20" s="70">
        <f t="shared" si="2"/>
        <v>1.81</v>
      </c>
      <c r="I20" s="32">
        <f>H20/H17</f>
        <v>0.16335740072202168</v>
      </c>
    </row>
    <row r="21" spans="1:14" s="25" customFormat="1" ht="15" x14ac:dyDescent="0.25">
      <c r="A21" s="8" t="s">
        <v>22</v>
      </c>
      <c r="B21" s="9" t="s">
        <v>23</v>
      </c>
      <c r="C21" s="92">
        <v>2.6</v>
      </c>
      <c r="D21" s="67">
        <f>D17*I21</f>
        <v>71533.011552346579</v>
      </c>
      <c r="E21" s="67">
        <f>E17*I21</f>
        <v>65053.99927797835</v>
      </c>
      <c r="F21" s="67">
        <f t="shared" si="0"/>
        <v>71533.011552346579</v>
      </c>
      <c r="G21" s="68">
        <f t="shared" si="1"/>
        <v>-6479.0122743682296</v>
      </c>
      <c r="H21" s="70">
        <f t="shared" si="2"/>
        <v>2.6</v>
      </c>
      <c r="I21" s="32">
        <f>H21/H17</f>
        <v>0.23465703971119137</v>
      </c>
    </row>
    <row r="22" spans="1:14" s="25" customFormat="1" ht="15" x14ac:dyDescent="0.25">
      <c r="A22" s="8" t="s">
        <v>24</v>
      </c>
      <c r="B22" s="9" t="s">
        <v>489</v>
      </c>
      <c r="C22" s="92">
        <v>2.12</v>
      </c>
      <c r="D22" s="67">
        <f>D17*I22</f>
        <v>58326.917111913361</v>
      </c>
      <c r="E22" s="67">
        <f>E17*I22</f>
        <v>53044.030180505419</v>
      </c>
      <c r="F22" s="67">
        <f t="shared" si="0"/>
        <v>58326.917111913361</v>
      </c>
      <c r="G22" s="68">
        <f t="shared" si="1"/>
        <v>-5282.886931407942</v>
      </c>
      <c r="H22" s="70">
        <f t="shared" si="2"/>
        <v>2.12</v>
      </c>
      <c r="I22" s="32">
        <f>H22/H17</f>
        <v>0.19133574007220219</v>
      </c>
    </row>
    <row r="23" spans="1:14" s="72" customFormat="1" ht="14.25" x14ac:dyDescent="0.2">
      <c r="A23" s="227" t="s">
        <v>25</v>
      </c>
      <c r="B23" s="227" t="s">
        <v>26</v>
      </c>
      <c r="C23" s="202">
        <v>3.43</v>
      </c>
      <c r="D23" s="172">
        <v>94368.63</v>
      </c>
      <c r="E23" s="172">
        <v>85821.37</v>
      </c>
      <c r="F23" s="172">
        <f t="shared" si="0"/>
        <v>94368.63</v>
      </c>
      <c r="G23" s="172">
        <f t="shared" si="1"/>
        <v>-8547.2600000000093</v>
      </c>
      <c r="H23" s="173"/>
      <c r="I23" s="173"/>
      <c r="J23" s="173"/>
      <c r="K23" s="173"/>
    </row>
    <row r="24" spans="1:14" s="72" customFormat="1" ht="14.25" x14ac:dyDescent="0.2">
      <c r="A24" s="227" t="s">
        <v>27</v>
      </c>
      <c r="B24" s="227" t="s">
        <v>28</v>
      </c>
      <c r="C24" s="202">
        <v>4.5999999999999996</v>
      </c>
      <c r="D24" s="172">
        <v>126558.42</v>
      </c>
      <c r="E24" s="172">
        <v>115095.57</v>
      </c>
      <c r="F24" s="172">
        <f t="shared" si="0"/>
        <v>126558.42</v>
      </c>
      <c r="G24" s="172">
        <f t="shared" si="1"/>
        <v>-11462.849999999991</v>
      </c>
      <c r="H24" s="173"/>
      <c r="I24" s="173"/>
      <c r="J24" s="173"/>
      <c r="K24" s="173"/>
    </row>
    <row r="25" spans="1:14" s="72" customFormat="1" ht="14.25" x14ac:dyDescent="0.2">
      <c r="A25" s="227" t="s">
        <v>29</v>
      </c>
      <c r="B25" s="227" t="s">
        <v>170</v>
      </c>
      <c r="C25" s="202">
        <v>6.12</v>
      </c>
      <c r="D25" s="172">
        <f>65296.82*3</f>
        <v>195890.46</v>
      </c>
      <c r="E25" s="172">
        <v>178147.98</v>
      </c>
      <c r="F25" s="172">
        <f>F46</f>
        <v>120000</v>
      </c>
      <c r="G25" s="172">
        <f t="shared" si="1"/>
        <v>-17742.479999999981</v>
      </c>
      <c r="H25" s="173"/>
      <c r="I25" s="173"/>
      <c r="J25" s="173"/>
      <c r="K25" s="173"/>
    </row>
    <row r="26" spans="1:14" s="72" customFormat="1" ht="14.25" x14ac:dyDescent="0.2">
      <c r="A26" s="227" t="s">
        <v>31</v>
      </c>
      <c r="B26" s="227" t="s">
        <v>132</v>
      </c>
      <c r="C26" s="263">
        <v>1.82</v>
      </c>
      <c r="D26" s="172">
        <v>50073.15</v>
      </c>
      <c r="E26" s="172">
        <v>45537.85</v>
      </c>
      <c r="F26" s="172">
        <f>F41</f>
        <v>5226.3784999999998</v>
      </c>
      <c r="G26" s="172">
        <f>E26-D26</f>
        <v>-4535.3000000000029</v>
      </c>
      <c r="H26" s="173"/>
      <c r="I26" s="173"/>
      <c r="J26" s="173"/>
      <c r="K26" s="173"/>
    </row>
    <row r="27" spans="1:14" ht="14.25" x14ac:dyDescent="0.2">
      <c r="A27" s="137" t="s">
        <v>33</v>
      </c>
      <c r="B27" s="137" t="s">
        <v>248</v>
      </c>
      <c r="C27" s="201">
        <v>1755.25</v>
      </c>
      <c r="D27" s="166">
        <v>877.48</v>
      </c>
      <c r="E27" s="166">
        <v>778.96</v>
      </c>
      <c r="F27" s="172">
        <f>D27</f>
        <v>877.48</v>
      </c>
      <c r="G27" s="166">
        <f t="shared" si="1"/>
        <v>-98.519999999999982</v>
      </c>
      <c r="H27" s="37"/>
      <c r="I27" s="37"/>
      <c r="J27" s="37"/>
      <c r="K27" s="37"/>
    </row>
    <row r="28" spans="1:14" ht="14.25" x14ac:dyDescent="0.2">
      <c r="A28" s="137" t="s">
        <v>35</v>
      </c>
      <c r="B28" s="137" t="s">
        <v>36</v>
      </c>
      <c r="C28" s="201">
        <v>0</v>
      </c>
      <c r="D28" s="166">
        <f>SUM(D29:D32)</f>
        <v>709669.78</v>
      </c>
      <c r="E28" s="166">
        <f>SUM(E29:E32)</f>
        <v>644709.40999999992</v>
      </c>
      <c r="F28" s="166">
        <f>SUM(F29:F32)</f>
        <v>709669.78</v>
      </c>
      <c r="G28" s="166">
        <f>SUM(G29:G32)</f>
        <v>-64960.37</v>
      </c>
      <c r="H28" s="37"/>
      <c r="I28" s="37"/>
      <c r="J28" s="37"/>
      <c r="K28" s="37"/>
    </row>
    <row r="29" spans="1:14" ht="15" x14ac:dyDescent="0.25">
      <c r="A29" s="9" t="s">
        <v>37</v>
      </c>
      <c r="B29" s="9" t="s">
        <v>398</v>
      </c>
      <c r="C29" s="250" t="s">
        <v>245</v>
      </c>
      <c r="D29" s="68">
        <v>25557.69</v>
      </c>
      <c r="E29" s="68">
        <v>23242.81</v>
      </c>
      <c r="F29" s="68">
        <f>D29</f>
        <v>25557.69</v>
      </c>
      <c r="G29" s="68">
        <f>E29-D29</f>
        <v>-2314.8799999999974</v>
      </c>
    </row>
    <row r="30" spans="1:14" ht="15" x14ac:dyDescent="0.25">
      <c r="A30" s="9" t="s">
        <v>39</v>
      </c>
      <c r="B30" s="9" t="s">
        <v>171</v>
      </c>
      <c r="C30" s="237" t="s">
        <v>246</v>
      </c>
      <c r="D30" s="68">
        <v>132349.53</v>
      </c>
      <c r="E30" s="68">
        <v>121685.82</v>
      </c>
      <c r="F30" s="68">
        <f>D30</f>
        <v>132349.53</v>
      </c>
      <c r="G30" s="68">
        <f>E30-D30</f>
        <v>-10663.709999999992</v>
      </c>
    </row>
    <row r="31" spans="1:14" ht="15" x14ac:dyDescent="0.25">
      <c r="A31" s="9" t="s">
        <v>42</v>
      </c>
      <c r="B31" s="9" t="s">
        <v>173</v>
      </c>
      <c r="C31" s="236">
        <v>87.24</v>
      </c>
      <c r="D31" s="68">
        <v>105473.13</v>
      </c>
      <c r="E31" s="68">
        <v>95154.98</v>
      </c>
      <c r="F31" s="68">
        <f>D31</f>
        <v>105473.13</v>
      </c>
      <c r="G31" s="68">
        <f>E31-D31</f>
        <v>-10318.150000000009</v>
      </c>
    </row>
    <row r="32" spans="1:14" ht="15" x14ac:dyDescent="0.25">
      <c r="A32" s="9" t="s">
        <v>41</v>
      </c>
      <c r="B32" s="9" t="s">
        <v>43</v>
      </c>
      <c r="C32" s="250">
        <v>22.26</v>
      </c>
      <c r="D32" s="68">
        <v>446289.43</v>
      </c>
      <c r="E32" s="68">
        <v>404625.8</v>
      </c>
      <c r="F32" s="68">
        <f>D32</f>
        <v>446289.43</v>
      </c>
      <c r="G32" s="68">
        <f>E32-D32</f>
        <v>-41663.630000000005</v>
      </c>
    </row>
    <row r="33" spans="1:12" s="20" customFormat="1" ht="7.5" customHeight="1" thickBot="1" x14ac:dyDescent="0.3">
      <c r="A33" s="46"/>
      <c r="B33" s="46"/>
      <c r="C33" s="46"/>
      <c r="D33" s="22"/>
      <c r="E33" s="22"/>
      <c r="F33" s="22"/>
      <c r="G33" s="22"/>
      <c r="H33" s="22"/>
      <c r="I33" s="22"/>
    </row>
    <row r="34" spans="1:12" s="15" customFormat="1" ht="15.75" thickBot="1" x14ac:dyDescent="0.3">
      <c r="A34" s="287" t="s">
        <v>241</v>
      </c>
      <c r="B34" s="288"/>
      <c r="C34" s="288"/>
      <c r="D34" s="73">
        <f>D12+D17+D23+D24+D25+D26+D27+D28-E17-E23-E24-E25-E26-E27-E28</f>
        <v>134957.33999999997</v>
      </c>
      <c r="E34" s="39"/>
      <c r="F34" s="39"/>
      <c r="G34" s="39"/>
      <c r="H34" s="40"/>
      <c r="I34" s="40"/>
    </row>
    <row r="35" spans="1:12" s="15" customFormat="1" ht="6" customHeight="1" thickBot="1" x14ac:dyDescent="0.3">
      <c r="A35" s="41"/>
      <c r="B35" s="41"/>
      <c r="C35" s="41"/>
      <c r="D35" s="42"/>
      <c r="E35" s="39"/>
      <c r="F35" s="39"/>
      <c r="G35" s="39"/>
      <c r="H35" s="40"/>
      <c r="I35" s="40"/>
    </row>
    <row r="36" spans="1:12" s="15" customFormat="1" ht="15.75" thickBot="1" x14ac:dyDescent="0.3">
      <c r="A36" s="266" t="s">
        <v>243</v>
      </c>
      <c r="B36" s="267"/>
      <c r="C36" s="267"/>
      <c r="D36" s="44"/>
      <c r="E36" s="45"/>
      <c r="F36" s="45"/>
      <c r="G36" s="38">
        <f>G14+E26-F26</f>
        <v>40311.4715</v>
      </c>
      <c r="H36" s="40"/>
      <c r="I36" s="40"/>
    </row>
    <row r="37" spans="1:12" s="20" customFormat="1" ht="13.5" x14ac:dyDescent="0.25">
      <c r="A37" s="21"/>
      <c r="B37" s="21"/>
      <c r="C37" s="21"/>
      <c r="D37" s="21"/>
      <c r="E37" s="22"/>
      <c r="F37" s="22"/>
      <c r="G37" s="22"/>
      <c r="H37" s="22"/>
      <c r="I37" s="22"/>
      <c r="J37" s="22"/>
      <c r="K37" s="22"/>
    </row>
    <row r="38" spans="1:12" ht="31.5" customHeight="1" x14ac:dyDescent="0.2">
      <c r="A38" s="289" t="s">
        <v>479</v>
      </c>
      <c r="B38" s="289"/>
      <c r="C38" s="289"/>
      <c r="D38" s="289"/>
      <c r="E38" s="289"/>
      <c r="F38" s="289"/>
      <c r="G38" s="289"/>
      <c r="H38" s="289"/>
      <c r="I38" s="289"/>
      <c r="J38" s="289"/>
      <c r="K38" s="289"/>
    </row>
    <row r="40" spans="1:12" s="18" customFormat="1" ht="37.5" customHeight="1" x14ac:dyDescent="0.2">
      <c r="A40" s="268" t="s">
        <v>11</v>
      </c>
      <c r="B40" s="306" t="s">
        <v>45</v>
      </c>
      <c r="C40" s="307"/>
      <c r="D40" s="268" t="s">
        <v>254</v>
      </c>
      <c r="E40" s="268" t="s">
        <v>253</v>
      </c>
      <c r="F40" s="306" t="s">
        <v>46</v>
      </c>
      <c r="G40" s="307"/>
      <c r="H40" s="57"/>
      <c r="I40" s="58"/>
      <c r="L40" s="54"/>
    </row>
    <row r="41" spans="1:12" s="12" customFormat="1" ht="15" customHeight="1" x14ac:dyDescent="0.25">
      <c r="A41" s="11" t="s">
        <v>47</v>
      </c>
      <c r="B41" s="308" t="s">
        <v>127</v>
      </c>
      <c r="C41" s="309"/>
      <c r="D41" s="176"/>
      <c r="E41" s="176"/>
      <c r="F41" s="316">
        <f>SUM(F42:G45)</f>
        <v>5226.3784999999998</v>
      </c>
      <c r="G41" s="312"/>
      <c r="H41" s="59"/>
      <c r="I41" s="60"/>
      <c r="L41" s="55"/>
    </row>
    <row r="42" spans="1:12" ht="15" x14ac:dyDescent="0.25">
      <c r="A42" s="9" t="s">
        <v>16</v>
      </c>
      <c r="B42" s="298" t="s">
        <v>519</v>
      </c>
      <c r="C42" s="299"/>
      <c r="D42" s="177" t="s">
        <v>262</v>
      </c>
      <c r="E42" s="177">
        <v>1</v>
      </c>
      <c r="F42" s="329">
        <v>2730</v>
      </c>
      <c r="G42" s="330"/>
      <c r="H42" s="61"/>
      <c r="I42" s="62"/>
      <c r="L42" s="56"/>
    </row>
    <row r="43" spans="1:12" ht="15" x14ac:dyDescent="0.25">
      <c r="A43" s="9" t="s">
        <v>18</v>
      </c>
      <c r="B43" s="298" t="s">
        <v>520</v>
      </c>
      <c r="C43" s="299"/>
      <c r="D43" s="177" t="s">
        <v>255</v>
      </c>
      <c r="E43" s="177">
        <v>1</v>
      </c>
      <c r="F43" s="329">
        <v>1398</v>
      </c>
      <c r="G43" s="330"/>
      <c r="H43" s="90"/>
      <c r="I43" s="90"/>
      <c r="L43" s="56"/>
    </row>
    <row r="44" spans="1:12" ht="15" x14ac:dyDescent="0.25">
      <c r="A44" s="9" t="s">
        <v>20</v>
      </c>
      <c r="B44" s="298" t="s">
        <v>505</v>
      </c>
      <c r="C44" s="299"/>
      <c r="D44" s="177" t="s">
        <v>262</v>
      </c>
      <c r="E44" s="177">
        <v>1</v>
      </c>
      <c r="F44" s="329">
        <v>643</v>
      </c>
      <c r="G44" s="330"/>
      <c r="H44" s="90"/>
      <c r="I44" s="90"/>
      <c r="L44" s="56"/>
    </row>
    <row r="45" spans="1:12" s="3" customFormat="1" ht="15" x14ac:dyDescent="0.25">
      <c r="A45" s="9" t="s">
        <v>22</v>
      </c>
      <c r="B45" s="327" t="s">
        <v>533</v>
      </c>
      <c r="C45" s="328"/>
      <c r="D45" s="246"/>
      <c r="E45" s="246"/>
      <c r="F45" s="317">
        <f>E26*1%</f>
        <v>455.37849999999997</v>
      </c>
      <c r="G45" s="317"/>
      <c r="H45" s="25"/>
      <c r="I45" s="25"/>
      <c r="J45" s="25"/>
      <c r="K45" s="25"/>
    </row>
    <row r="46" spans="1:12" s="3" customFormat="1" ht="15" x14ac:dyDescent="0.25">
      <c r="A46" s="136">
        <v>2</v>
      </c>
      <c r="B46" s="308" t="s">
        <v>170</v>
      </c>
      <c r="C46" s="309"/>
      <c r="D46" s="176"/>
      <c r="E46" s="176"/>
      <c r="F46" s="316">
        <f>SUM(F47:G50)</f>
        <v>120000</v>
      </c>
      <c r="G46" s="312"/>
      <c r="H46" s="25"/>
      <c r="I46" s="25"/>
      <c r="J46" s="25"/>
      <c r="K46" s="25"/>
    </row>
    <row r="47" spans="1:12" s="3" customFormat="1" ht="15" x14ac:dyDescent="0.25">
      <c r="A47" s="9" t="s">
        <v>104</v>
      </c>
      <c r="B47" s="298" t="s">
        <v>202</v>
      </c>
      <c r="C47" s="299"/>
      <c r="D47" s="177"/>
      <c r="E47" s="177"/>
      <c r="F47" s="329">
        <v>120000</v>
      </c>
      <c r="G47" s="330"/>
      <c r="H47" s="25"/>
      <c r="I47" s="25"/>
      <c r="J47" s="25"/>
      <c r="K47" s="25"/>
    </row>
    <row r="48" spans="1:12" s="3" customFormat="1" ht="15" x14ac:dyDescent="0.25">
      <c r="A48" s="49"/>
      <c r="B48" s="94"/>
      <c r="C48" s="51"/>
      <c r="D48" s="264"/>
      <c r="E48" s="264"/>
      <c r="F48" s="52"/>
      <c r="G48" s="52"/>
      <c r="H48" s="25"/>
      <c r="I48" s="25"/>
      <c r="J48" s="25"/>
      <c r="K48" s="25"/>
    </row>
    <row r="49" spans="1:11" s="25" customFormat="1" ht="9" customHeight="1" x14ac:dyDescent="0.2"/>
    <row r="50" spans="1:11" s="25" customFormat="1" ht="15" x14ac:dyDescent="0.25">
      <c r="A50" s="3" t="s">
        <v>55</v>
      </c>
      <c r="B50" s="3"/>
      <c r="C50" s="101" t="s">
        <v>49</v>
      </c>
      <c r="D50" s="3"/>
      <c r="E50" s="3"/>
      <c r="F50" s="3" t="s">
        <v>102</v>
      </c>
      <c r="G50" s="3"/>
      <c r="H50" s="3"/>
      <c r="I50" s="3"/>
      <c r="J50" s="3"/>
      <c r="K50" s="3"/>
    </row>
    <row r="51" spans="1:11" s="25" customFormat="1" ht="15" x14ac:dyDescent="0.25">
      <c r="A51" s="3"/>
      <c r="B51" s="3"/>
      <c r="C51" s="101"/>
      <c r="D51" s="3"/>
      <c r="E51" s="3"/>
      <c r="F51" s="4" t="s">
        <v>265</v>
      </c>
      <c r="G51" s="3"/>
    </row>
    <row r="52" spans="1:11" s="25" customFormat="1" ht="15" x14ac:dyDescent="0.25">
      <c r="A52" s="3" t="s">
        <v>50</v>
      </c>
      <c r="B52" s="3"/>
      <c r="C52" s="101"/>
      <c r="D52" s="3"/>
      <c r="E52" s="3"/>
      <c r="F52" s="3"/>
      <c r="G52" s="3"/>
      <c r="H52" s="34"/>
      <c r="I52" s="34"/>
      <c r="J52" s="34"/>
    </row>
    <row r="53" spans="1:11" ht="15" x14ac:dyDescent="0.25">
      <c r="A53" s="3"/>
      <c r="B53" s="3"/>
      <c r="C53" s="106" t="s">
        <v>51</v>
      </c>
      <c r="D53" s="3"/>
      <c r="E53" s="14"/>
      <c r="F53" s="14"/>
      <c r="G53" s="14"/>
      <c r="H53" s="25"/>
      <c r="I53" s="25"/>
      <c r="J53" s="25"/>
      <c r="K53" s="25"/>
    </row>
    <row r="54" spans="1:1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</sheetData>
  <mergeCells count="26">
    <mergeCell ref="B46:C46"/>
    <mergeCell ref="F46:G46"/>
    <mergeCell ref="B47:C47"/>
    <mergeCell ref="F47:G47"/>
    <mergeCell ref="B44:C44"/>
    <mergeCell ref="F44:G44"/>
    <mergeCell ref="B45:C45"/>
    <mergeCell ref="F45:G45"/>
    <mergeCell ref="B41:C41"/>
    <mergeCell ref="F41:G41"/>
    <mergeCell ref="B42:C42"/>
    <mergeCell ref="F42:G42"/>
    <mergeCell ref="B43:C43"/>
    <mergeCell ref="F43:G43"/>
    <mergeCell ref="A11:K11"/>
    <mergeCell ref="A12:C12"/>
    <mergeCell ref="A34:C34"/>
    <mergeCell ref="A38:K38"/>
    <mergeCell ref="B40:C40"/>
    <mergeCell ref="F40:G40"/>
    <mergeCell ref="A10:K10"/>
    <mergeCell ref="A1:K1"/>
    <mergeCell ref="A2:K2"/>
    <mergeCell ref="A3:K3"/>
    <mergeCell ref="A5:K5"/>
    <mergeCell ref="A9:K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G38" sqref="G38"/>
    </sheetView>
  </sheetViews>
  <sheetFormatPr defaultRowHeight="15" outlineLevelCol="1" x14ac:dyDescent="0.25"/>
  <cols>
    <col min="1" max="1" width="4.7109375" style="1" customWidth="1"/>
    <col min="2" max="2" width="48.28515625" style="1" customWidth="1"/>
    <col min="3" max="3" width="12.7109375" style="1" customWidth="1"/>
    <col min="4" max="4" width="13.5703125" style="1" customWidth="1"/>
    <col min="5" max="5" width="15.5703125" style="1" customWidth="1"/>
    <col min="6" max="6" width="12.140625" style="1" customWidth="1"/>
    <col min="7" max="7" width="13.710937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2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2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ht="16.5" customHeight="1" x14ac:dyDescent="0.25">
      <c r="A7" s="3" t="s">
        <v>2</v>
      </c>
      <c r="E7" s="4" t="s">
        <v>62</v>
      </c>
    </row>
    <row r="8" spans="1:11" s="3" customFormat="1" x14ac:dyDescent="0.25">
      <c r="A8" s="3" t="s">
        <v>3</v>
      </c>
      <c r="E8" s="4" t="s">
        <v>63</v>
      </c>
    </row>
    <row r="9" spans="1:11" s="3" customForma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-7356.18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281</v>
      </c>
      <c r="B15" s="43"/>
      <c r="C15" s="43"/>
      <c r="D15" s="44"/>
      <c r="E15" s="45"/>
      <c r="F15" s="45"/>
      <c r="G15" s="38">
        <v>23590.65</v>
      </c>
      <c r="H15" s="40"/>
      <c r="I15" s="40"/>
    </row>
    <row r="16" spans="1:11" s="15" customFormat="1" ht="15.75" thickBot="1" x14ac:dyDescent="0.3">
      <c r="A16" s="142" t="s">
        <v>282</v>
      </c>
      <c r="B16" s="143"/>
      <c r="C16" s="143"/>
      <c r="D16" s="44"/>
      <c r="E16" s="45"/>
      <c r="F16" s="45"/>
      <c r="G16" s="38">
        <v>-81692.14</v>
      </c>
      <c r="H16" s="40"/>
      <c r="I16" s="40"/>
    </row>
    <row r="17" spans="1:9" s="3" customFormat="1" ht="9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14.25" x14ac:dyDescent="0.2">
      <c r="A19" s="187" t="s">
        <v>14</v>
      </c>
      <c r="B19" s="137" t="s">
        <v>15</v>
      </c>
      <c r="C19" s="180">
        <f>C20+C21+C22+C23</f>
        <v>8.9599999999999991</v>
      </c>
      <c r="D19" s="165">
        <v>108090.12</v>
      </c>
      <c r="E19" s="165">
        <v>107397.39</v>
      </c>
      <c r="F19" s="165">
        <f>D19</f>
        <v>108090.12</v>
      </c>
      <c r="G19" s="166">
        <f t="shared" ref="G19:G28" si="0">E19-D19</f>
        <v>-692.72999999999593</v>
      </c>
      <c r="H19" s="167">
        <f>C19</f>
        <v>8.9599999999999991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37155.978750000002</v>
      </c>
      <c r="E20" s="67">
        <f>E19*I20</f>
        <v>36917.852812500008</v>
      </c>
      <c r="F20" s="67">
        <f>D20</f>
        <v>37155.978750000002</v>
      </c>
      <c r="G20" s="68">
        <f t="shared" si="0"/>
        <v>-238.1259374999936</v>
      </c>
      <c r="H20" s="162">
        <f t="shared" ref="H20:H23" si="1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17733.535312500004</v>
      </c>
      <c r="E21" s="67">
        <f>E19*I21</f>
        <v>17619.884296875003</v>
      </c>
      <c r="F21" s="67">
        <f>D21</f>
        <v>17733.535312500004</v>
      </c>
      <c r="G21" s="68">
        <f t="shared" si="0"/>
        <v>-113.65101562500058</v>
      </c>
      <c r="H21" s="162">
        <f t="shared" si="1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21835.169330357145</v>
      </c>
      <c r="E22" s="67">
        <f>E19*I22</f>
        <v>21695.23168526786</v>
      </c>
      <c r="F22" s="67">
        <f>D22</f>
        <v>21835.169330357145</v>
      </c>
      <c r="G22" s="68">
        <f t="shared" si="0"/>
        <v>-139.93764508928507</v>
      </c>
      <c r="H22" s="162">
        <f t="shared" si="1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7">
        <v>2.6</v>
      </c>
      <c r="D23" s="67">
        <f>D19*I23</f>
        <v>31365.436607142859</v>
      </c>
      <c r="E23" s="67">
        <f>E19*I23</f>
        <v>31164.421205357146</v>
      </c>
      <c r="F23" s="67">
        <f>D23</f>
        <v>31365.436607142859</v>
      </c>
      <c r="G23" s="68">
        <f t="shared" si="0"/>
        <v>-201.01540178571304</v>
      </c>
      <c r="H23" s="162">
        <f t="shared" si="1"/>
        <v>2.6</v>
      </c>
      <c r="I23" s="15">
        <f>H23/H19</f>
        <v>0.29017857142857145</v>
      </c>
    </row>
    <row r="24" spans="1:9" s="186" customFormat="1" ht="14.25" x14ac:dyDescent="0.2">
      <c r="A24" s="137" t="s">
        <v>25</v>
      </c>
      <c r="B24" s="170" t="s">
        <v>26</v>
      </c>
      <c r="C24" s="17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171">
        <v>4.5999999999999996</v>
      </c>
      <c r="D25" s="166">
        <v>55492.56</v>
      </c>
      <c r="E25" s="166">
        <v>55161.43</v>
      </c>
      <c r="F25" s="166">
        <f>D25</f>
        <v>55492.56</v>
      </c>
      <c r="G25" s="166">
        <f t="shared" si="0"/>
        <v>-331.12999999999738</v>
      </c>
    </row>
    <row r="26" spans="1:9" s="186" customFormat="1" ht="14.25" x14ac:dyDescent="0.2">
      <c r="A26" s="137" t="s">
        <v>29</v>
      </c>
      <c r="B26" s="170" t="s">
        <v>248</v>
      </c>
      <c r="C26" s="171">
        <v>0</v>
      </c>
      <c r="D26" s="166">
        <v>0</v>
      </c>
      <c r="E26" s="166">
        <v>0</v>
      </c>
      <c r="F26" s="166">
        <f>D26</f>
        <v>0</v>
      </c>
      <c r="G26" s="166">
        <f t="shared" si="0"/>
        <v>0</v>
      </c>
    </row>
    <row r="27" spans="1:9" s="186" customFormat="1" ht="14.25" x14ac:dyDescent="0.2">
      <c r="A27" s="137" t="s">
        <v>31</v>
      </c>
      <c r="B27" s="170" t="s">
        <v>132</v>
      </c>
      <c r="C27" s="171">
        <v>1.82</v>
      </c>
      <c r="D27" s="166">
        <v>21955.68</v>
      </c>
      <c r="E27" s="166">
        <v>21824.68</v>
      </c>
      <c r="F27" s="172">
        <f>F44</f>
        <v>21727.576799999999</v>
      </c>
      <c r="G27" s="166">
        <f t="shared" si="0"/>
        <v>-131</v>
      </c>
    </row>
    <row r="28" spans="1:9" s="186" customFormat="1" ht="14.25" x14ac:dyDescent="0.2">
      <c r="A28" s="137" t="s">
        <v>33</v>
      </c>
      <c r="B28" s="36" t="s">
        <v>34</v>
      </c>
      <c r="C28" s="164">
        <v>7.33</v>
      </c>
      <c r="D28" s="166">
        <v>161652.24</v>
      </c>
      <c r="E28" s="166">
        <v>161651.56</v>
      </c>
      <c r="F28" s="172">
        <f>F50</f>
        <v>161637.38</v>
      </c>
      <c r="G28" s="166">
        <f t="shared" si="0"/>
        <v>-0.67999999999301508</v>
      </c>
    </row>
    <row r="29" spans="1:9" s="186" customFormat="1" ht="14.25" x14ac:dyDescent="0.2">
      <c r="A29" s="137" t="s">
        <v>35</v>
      </c>
      <c r="B29" s="36" t="s">
        <v>36</v>
      </c>
      <c r="C29" s="164"/>
      <c r="D29" s="166">
        <f>SUM(D30:D33)</f>
        <v>461365.82</v>
      </c>
      <c r="E29" s="166">
        <f>SUM(E30:E33)</f>
        <v>457544.24</v>
      </c>
      <c r="F29" s="166">
        <f>SUM(F30:F33)</f>
        <v>461365.82</v>
      </c>
      <c r="G29" s="166">
        <f>SUM(G30:G33)</f>
        <v>-3821.5800000000108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4705.7299999999996</v>
      </c>
      <c r="E30" s="68">
        <v>4674.6000000000004</v>
      </c>
      <c r="F30" s="68">
        <f>D30</f>
        <v>4705.7299999999996</v>
      </c>
      <c r="G30" s="68">
        <f>E30-D30</f>
        <v>-31.1299999999992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64325.19</v>
      </c>
      <c r="E31" s="68">
        <v>62555.09</v>
      </c>
      <c r="F31" s="68">
        <f>D31</f>
        <v>64325.19</v>
      </c>
      <c r="G31" s="68">
        <f>E31-D31</f>
        <v>-1770.1000000000058</v>
      </c>
    </row>
    <row r="32" spans="1:9" s="97" customFormat="1" x14ac:dyDescent="0.25">
      <c r="A32" s="95" t="s">
        <v>42</v>
      </c>
      <c r="B32" s="9" t="s">
        <v>40</v>
      </c>
      <c r="C32" s="213" t="s">
        <v>504</v>
      </c>
      <c r="D32" s="96">
        <v>113201.31</v>
      </c>
      <c r="E32" s="96">
        <v>113065.53</v>
      </c>
      <c r="F32" s="96">
        <f>D32</f>
        <v>113201.31</v>
      </c>
      <c r="G32" s="96">
        <f>E32-D32</f>
        <v>-135.77999999999884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279133.59000000003</v>
      </c>
      <c r="E33" s="68">
        <v>277249.02</v>
      </c>
      <c r="F33" s="68">
        <f>D33</f>
        <v>279133.59000000003</v>
      </c>
      <c r="G33" s="68">
        <f>E33-D33</f>
        <v>-1884.570000000007</v>
      </c>
    </row>
    <row r="34" spans="1:10" s="20" customFormat="1" ht="9.7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-2379.0600000001141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23604.829999999987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-81595.036800000002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7.5" customHeight="1" x14ac:dyDescent="0.25">
      <c r="B40" s="13"/>
      <c r="C40" s="13"/>
      <c r="D40" s="13"/>
      <c r="E40" s="13"/>
    </row>
    <row r="41" spans="1:10" ht="24" customHeight="1" x14ac:dyDescent="0.25">
      <c r="A41" s="289" t="s">
        <v>44</v>
      </c>
      <c r="B41" s="289"/>
      <c r="C41" s="289"/>
      <c r="D41" s="289"/>
      <c r="E41" s="289"/>
      <c r="F41" s="289"/>
      <c r="G41" s="289"/>
      <c r="H41" s="289"/>
      <c r="I41" s="289"/>
    </row>
    <row r="43" spans="1:10" s="7" customFormat="1" ht="28.5" customHeight="1" x14ac:dyDescent="0.25">
      <c r="A43" s="5" t="s">
        <v>11</v>
      </c>
      <c r="B43" s="306" t="s">
        <v>45</v>
      </c>
      <c r="C43" s="307"/>
      <c r="D43" s="5" t="s">
        <v>254</v>
      </c>
      <c r="E43" s="5" t="s">
        <v>253</v>
      </c>
      <c r="F43" s="306" t="s">
        <v>46</v>
      </c>
      <c r="G43" s="312"/>
    </row>
    <row r="44" spans="1:10" s="12" customFormat="1" ht="13.5" customHeight="1" x14ac:dyDescent="0.25">
      <c r="A44" s="11" t="s">
        <v>47</v>
      </c>
      <c r="B44" s="308" t="s">
        <v>127</v>
      </c>
      <c r="C44" s="309"/>
      <c r="D44" s="194"/>
      <c r="E44" s="194"/>
      <c r="F44" s="316">
        <f>SUM(F45:G49)</f>
        <v>21727.576799999999</v>
      </c>
      <c r="G44" s="312"/>
    </row>
    <row r="45" spans="1:10" ht="13.5" customHeight="1" x14ac:dyDescent="0.25">
      <c r="A45" s="9" t="s">
        <v>16</v>
      </c>
      <c r="B45" s="298" t="s">
        <v>283</v>
      </c>
      <c r="C45" s="299"/>
      <c r="D45" s="193" t="s">
        <v>262</v>
      </c>
      <c r="E45" s="193">
        <v>1</v>
      </c>
      <c r="F45" s="315">
        <v>1557.67</v>
      </c>
      <c r="G45" s="315"/>
    </row>
    <row r="46" spans="1:10" s="48" customFormat="1" ht="13.5" customHeight="1" x14ac:dyDescent="0.25">
      <c r="A46" s="47" t="s">
        <v>18</v>
      </c>
      <c r="B46" s="298" t="s">
        <v>284</v>
      </c>
      <c r="C46" s="299"/>
      <c r="D46" s="214" t="s">
        <v>255</v>
      </c>
      <c r="E46" s="212">
        <v>12</v>
      </c>
      <c r="F46" s="317">
        <v>5913.5</v>
      </c>
      <c r="G46" s="317"/>
    </row>
    <row r="47" spans="1:10" s="48" customFormat="1" ht="13.5" customHeight="1" x14ac:dyDescent="0.25">
      <c r="A47" s="9" t="s">
        <v>20</v>
      </c>
      <c r="B47" s="298" t="s">
        <v>205</v>
      </c>
      <c r="C47" s="299"/>
      <c r="D47" s="214" t="s">
        <v>262</v>
      </c>
      <c r="E47" s="212">
        <v>6</v>
      </c>
      <c r="F47" s="317">
        <v>12557.93</v>
      </c>
      <c r="G47" s="317"/>
    </row>
    <row r="48" spans="1:10" s="48" customFormat="1" ht="13.5" customHeight="1" x14ac:dyDescent="0.25">
      <c r="A48" s="9" t="s">
        <v>22</v>
      </c>
      <c r="B48" s="298" t="s">
        <v>538</v>
      </c>
      <c r="C48" s="299"/>
      <c r="D48" s="214"/>
      <c r="E48" s="212"/>
      <c r="F48" s="317">
        <v>1480.23</v>
      </c>
      <c r="G48" s="317"/>
    </row>
    <row r="49" spans="1:7" s="48" customFormat="1" ht="13.5" customHeight="1" x14ac:dyDescent="0.25">
      <c r="A49" s="9" t="s">
        <v>24</v>
      </c>
      <c r="B49" s="327" t="s">
        <v>533</v>
      </c>
      <c r="C49" s="328"/>
      <c r="D49" s="212"/>
      <c r="E49" s="212"/>
      <c r="F49" s="317">
        <f>E27*1%</f>
        <v>218.24680000000001</v>
      </c>
      <c r="G49" s="317"/>
    </row>
    <row r="50" spans="1:7" s="48" customFormat="1" ht="13.5" customHeight="1" x14ac:dyDescent="0.25">
      <c r="A50" s="136">
        <v>2</v>
      </c>
      <c r="B50" s="207" t="s">
        <v>105</v>
      </c>
      <c r="C50" s="208"/>
      <c r="D50" s="194"/>
      <c r="E50" s="211"/>
      <c r="F50" s="318">
        <f>SUM(F51:G51)</f>
        <v>161637.38</v>
      </c>
      <c r="G50" s="319"/>
    </row>
    <row r="51" spans="1:7" s="48" customFormat="1" ht="25.5" customHeight="1" x14ac:dyDescent="0.25">
      <c r="A51" s="9" t="s">
        <v>104</v>
      </c>
      <c r="B51" s="321" t="s">
        <v>524</v>
      </c>
      <c r="C51" s="322"/>
      <c r="D51" s="193"/>
      <c r="E51" s="181">
        <v>1</v>
      </c>
      <c r="F51" s="323">
        <v>161637.38</v>
      </c>
      <c r="G51" s="324"/>
    </row>
    <row r="52" spans="1:7" s="3" customFormat="1" x14ac:dyDescent="0.25"/>
    <row r="53" spans="1:7" s="3" customFormat="1" x14ac:dyDescent="0.25">
      <c r="A53" s="3" t="s">
        <v>55</v>
      </c>
      <c r="C53" s="3" t="s">
        <v>49</v>
      </c>
      <c r="F53" s="3" t="s">
        <v>102</v>
      </c>
    </row>
    <row r="54" spans="1:7" s="3" customFormat="1" ht="13.5" customHeight="1" x14ac:dyDescent="0.25">
      <c r="F54" s="4" t="s">
        <v>265</v>
      </c>
    </row>
    <row r="55" spans="1:7" s="3" customFormat="1" x14ac:dyDescent="0.25">
      <c r="A55" s="3" t="s">
        <v>50</v>
      </c>
    </row>
    <row r="56" spans="1:7" s="3" customFormat="1" x14ac:dyDescent="0.25">
      <c r="C56" s="14" t="s">
        <v>51</v>
      </c>
      <c r="E56" s="14"/>
      <c r="F56" s="14"/>
      <c r="G56" s="14"/>
    </row>
    <row r="57" spans="1:7" s="3" customFormat="1" x14ac:dyDescent="0.25"/>
    <row r="58" spans="1:7" s="3" customFormat="1" x14ac:dyDescent="0.25"/>
  </sheetData>
  <mergeCells count="27">
    <mergeCell ref="F50:G50"/>
    <mergeCell ref="B51:C51"/>
    <mergeCell ref="F51:G51"/>
    <mergeCell ref="A13:C13"/>
    <mergeCell ref="A12:I12"/>
    <mergeCell ref="A35:C35"/>
    <mergeCell ref="F47:G47"/>
    <mergeCell ref="F44:G44"/>
    <mergeCell ref="F45:G45"/>
    <mergeCell ref="A41:I41"/>
    <mergeCell ref="F49:G49"/>
    <mergeCell ref="F43:G43"/>
    <mergeCell ref="F46:G46"/>
    <mergeCell ref="B43:C43"/>
    <mergeCell ref="B44:C44"/>
    <mergeCell ref="B45:C45"/>
    <mergeCell ref="A11:I11"/>
    <mergeCell ref="A1:I1"/>
    <mergeCell ref="A2:I2"/>
    <mergeCell ref="A5:I5"/>
    <mergeCell ref="A10:I10"/>
    <mergeCell ref="A3:K3"/>
    <mergeCell ref="B46:C46"/>
    <mergeCell ref="B47:C47"/>
    <mergeCell ref="B49:C49"/>
    <mergeCell ref="B48:C48"/>
    <mergeCell ref="F48:G48"/>
  </mergeCells>
  <phoneticPr fontId="18" type="noConversion"/>
  <pageMargins left="0" right="0" top="0" bottom="0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selection activeCell="F47" sqref="F47"/>
    </sheetView>
  </sheetViews>
  <sheetFormatPr defaultRowHeight="15" outlineLevelCol="1" x14ac:dyDescent="0.25"/>
  <cols>
    <col min="1" max="1" width="4.7109375" style="1" customWidth="1"/>
    <col min="2" max="2" width="47.7109375" style="1" customWidth="1"/>
    <col min="3" max="3" width="13.28515625" style="1" customWidth="1"/>
    <col min="4" max="4" width="13.140625" style="1" customWidth="1"/>
    <col min="5" max="5" width="13.85546875" style="1" customWidth="1"/>
    <col min="6" max="6" width="13.7109375" style="1" customWidth="1"/>
    <col min="7" max="7" width="13.28515625" style="1" customWidth="1"/>
    <col min="8" max="8" width="10.85546875" style="1" hidden="1" customWidth="1" outlineLevel="1"/>
    <col min="9" max="9" width="13.42578125" style="1" hidden="1" customWidth="1" outlineLevel="1"/>
    <col min="10" max="12" width="9.140625" style="1" hidden="1" customWidth="1" outlineLevel="1"/>
    <col min="13" max="13" width="9.140625" style="1" collapsed="1"/>
    <col min="14" max="16384" width="9.140625" style="1"/>
  </cols>
  <sheetData>
    <row r="1" spans="1:11" x14ac:dyDescent="0.25">
      <c r="A1" s="300" t="s">
        <v>0</v>
      </c>
      <c r="B1" s="300"/>
      <c r="C1" s="300"/>
      <c r="D1" s="300"/>
      <c r="E1" s="300"/>
      <c r="F1" s="300"/>
      <c r="G1" s="300"/>
      <c r="H1" s="300"/>
      <c r="I1" s="300"/>
    </row>
    <row r="2" spans="1:11" x14ac:dyDescent="0.25">
      <c r="A2" s="300" t="s">
        <v>52</v>
      </c>
      <c r="B2" s="300"/>
      <c r="C2" s="300"/>
      <c r="D2" s="300"/>
      <c r="E2" s="300"/>
      <c r="F2" s="300"/>
      <c r="G2" s="300"/>
      <c r="H2" s="300"/>
      <c r="I2" s="300"/>
    </row>
    <row r="3" spans="1:11" ht="15" customHeight="1" x14ac:dyDescent="0.25">
      <c r="A3" s="293" t="s">
        <v>239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10.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01" t="s">
        <v>1</v>
      </c>
      <c r="B5" s="300"/>
      <c r="C5" s="300"/>
      <c r="D5" s="300"/>
      <c r="E5" s="300"/>
      <c r="F5" s="300"/>
      <c r="G5" s="300"/>
      <c r="H5" s="300"/>
      <c r="I5" s="300"/>
    </row>
    <row r="7" spans="1:11" s="3" customFormat="1" ht="16.5" customHeight="1" x14ac:dyDescent="0.25">
      <c r="A7" s="3" t="s">
        <v>2</v>
      </c>
      <c r="E7" s="4" t="s">
        <v>61</v>
      </c>
    </row>
    <row r="8" spans="1:11" s="3" customFormat="1" x14ac:dyDescent="0.25">
      <c r="A8" s="3" t="s">
        <v>3</v>
      </c>
      <c r="E8" s="4" t="s">
        <v>184</v>
      </c>
    </row>
    <row r="9" spans="1:11" s="3" customFormat="1" ht="8.25" customHeight="1" x14ac:dyDescent="0.25"/>
    <row r="10" spans="1:11" s="3" customFormat="1" x14ac:dyDescent="0.25">
      <c r="A10" s="286" t="s">
        <v>8</v>
      </c>
      <c r="B10" s="286"/>
      <c r="C10" s="286"/>
      <c r="D10" s="286"/>
      <c r="E10" s="286"/>
      <c r="F10" s="286"/>
      <c r="G10" s="286"/>
      <c r="H10" s="286"/>
      <c r="I10" s="286"/>
    </row>
    <row r="11" spans="1:11" s="3" customFormat="1" x14ac:dyDescent="0.25">
      <c r="A11" s="286" t="s">
        <v>9</v>
      </c>
      <c r="B11" s="286"/>
      <c r="C11" s="286"/>
      <c r="D11" s="286"/>
      <c r="E11" s="286"/>
      <c r="F11" s="286"/>
      <c r="G11" s="286"/>
      <c r="H11" s="286"/>
      <c r="I11" s="286"/>
    </row>
    <row r="12" spans="1:11" s="3" customFormat="1" ht="15.75" thickBot="1" x14ac:dyDescent="0.3">
      <c r="A12" s="286" t="s">
        <v>10</v>
      </c>
      <c r="B12" s="286"/>
      <c r="C12" s="286"/>
      <c r="D12" s="286"/>
      <c r="E12" s="286"/>
      <c r="F12" s="286"/>
      <c r="G12" s="286"/>
      <c r="H12" s="286"/>
      <c r="I12" s="286"/>
    </row>
    <row r="13" spans="1:11" s="15" customFormat="1" ht="16.5" customHeight="1" thickBot="1" x14ac:dyDescent="0.3">
      <c r="A13" s="287" t="s">
        <v>240</v>
      </c>
      <c r="B13" s="288"/>
      <c r="C13" s="288"/>
      <c r="D13" s="38">
        <v>495012.41</v>
      </c>
      <c r="E13" s="39"/>
      <c r="F13" s="39"/>
      <c r="G13" s="39"/>
      <c r="H13" s="40"/>
      <c r="I13" s="40"/>
    </row>
    <row r="14" spans="1:11" s="15" customFormat="1" ht="6" customHeight="1" thickBot="1" x14ac:dyDescent="0.3">
      <c r="A14" s="41"/>
      <c r="B14" s="41"/>
      <c r="C14" s="41"/>
      <c r="D14" s="42"/>
      <c r="E14" s="39"/>
      <c r="F14" s="39"/>
      <c r="G14" s="39"/>
      <c r="H14" s="40"/>
      <c r="I14" s="40"/>
    </row>
    <row r="15" spans="1:11" s="15" customFormat="1" ht="15.75" thickBot="1" x14ac:dyDescent="0.3">
      <c r="A15" s="87" t="s">
        <v>214</v>
      </c>
      <c r="B15" s="43"/>
      <c r="C15" s="43"/>
      <c r="D15" s="44"/>
      <c r="E15" s="45"/>
      <c r="F15" s="45"/>
      <c r="G15" s="38">
        <v>86554.33</v>
      </c>
      <c r="H15" s="40"/>
      <c r="I15" s="40"/>
    </row>
    <row r="16" spans="1:11" s="15" customFormat="1" ht="15.75" thickBot="1" x14ac:dyDescent="0.3">
      <c r="A16" s="142" t="s">
        <v>215</v>
      </c>
      <c r="B16" s="143"/>
      <c r="C16" s="143"/>
      <c r="D16" s="44"/>
      <c r="E16" s="45"/>
      <c r="F16" s="45"/>
      <c r="G16" s="38">
        <v>139811.22</v>
      </c>
      <c r="H16" s="40"/>
      <c r="I16" s="40"/>
    </row>
    <row r="17" spans="1:9" s="3" customFormat="1" ht="7.5" customHeight="1" x14ac:dyDescent="0.25"/>
    <row r="18" spans="1:9" s="18" customFormat="1" ht="38.25" x14ac:dyDescent="0.25">
      <c r="A18" s="6" t="s">
        <v>11</v>
      </c>
      <c r="B18" s="6" t="s">
        <v>12</v>
      </c>
      <c r="C18" s="6" t="s">
        <v>103</v>
      </c>
      <c r="D18" s="129" t="s">
        <v>252</v>
      </c>
      <c r="E18" s="129" t="s">
        <v>249</v>
      </c>
      <c r="F18" s="130" t="s">
        <v>257</v>
      </c>
      <c r="G18" s="129" t="s">
        <v>251</v>
      </c>
    </row>
    <row r="19" spans="1:9" s="190" customFormat="1" ht="28.5" x14ac:dyDescent="0.2">
      <c r="A19" s="187" t="s">
        <v>14</v>
      </c>
      <c r="B19" s="137" t="s">
        <v>15</v>
      </c>
      <c r="C19" s="180">
        <f>C20+C21+C22+C23</f>
        <v>8.9599999999999991</v>
      </c>
      <c r="D19" s="165">
        <v>273794.14</v>
      </c>
      <c r="E19" s="165">
        <v>260432.72</v>
      </c>
      <c r="F19" s="165">
        <f>D19</f>
        <v>273794.14</v>
      </c>
      <c r="G19" s="166">
        <f t="shared" ref="G19:G28" si="0">E19-D19</f>
        <v>-13361.420000000013</v>
      </c>
      <c r="H19" s="70">
        <f>C19</f>
        <v>8.9599999999999991</v>
      </c>
    </row>
    <row r="20" spans="1:9" s="3" customFormat="1" x14ac:dyDescent="0.25">
      <c r="A20" s="8" t="s">
        <v>16</v>
      </c>
      <c r="B20" s="9" t="s">
        <v>17</v>
      </c>
      <c r="C20" s="157">
        <v>3.08</v>
      </c>
      <c r="D20" s="67">
        <f>D19*I20</f>
        <v>94116.735625000016</v>
      </c>
      <c r="E20" s="67">
        <f>E19*I20</f>
        <v>89523.747500000012</v>
      </c>
      <c r="F20" s="67">
        <f>D20</f>
        <v>94116.735625000016</v>
      </c>
      <c r="G20" s="68">
        <f t="shared" si="0"/>
        <v>-4592.9881250000035</v>
      </c>
      <c r="H20" s="70">
        <f t="shared" ref="H20:H23" si="1">C20</f>
        <v>3.08</v>
      </c>
      <c r="I20" s="15">
        <f>H20/H19</f>
        <v>0.34375000000000006</v>
      </c>
    </row>
    <row r="21" spans="1:9" s="3" customFormat="1" x14ac:dyDescent="0.25">
      <c r="A21" s="8" t="s">
        <v>18</v>
      </c>
      <c r="B21" s="9" t="s">
        <v>19</v>
      </c>
      <c r="C21" s="157">
        <v>1.47</v>
      </c>
      <c r="D21" s="67">
        <f>D19*I21</f>
        <v>44919.35109375001</v>
      </c>
      <c r="E21" s="67">
        <f>E19*I21</f>
        <v>42727.243125000008</v>
      </c>
      <c r="F21" s="67">
        <f>D21</f>
        <v>44919.35109375001</v>
      </c>
      <c r="G21" s="68">
        <f t="shared" si="0"/>
        <v>-2192.1079687500023</v>
      </c>
      <c r="H21" s="70">
        <f t="shared" si="1"/>
        <v>1.47</v>
      </c>
      <c r="I21" s="15">
        <f>H21/H19</f>
        <v>0.16406250000000003</v>
      </c>
    </row>
    <row r="22" spans="1:9" s="3" customFormat="1" x14ac:dyDescent="0.25">
      <c r="A22" s="8" t="s">
        <v>20</v>
      </c>
      <c r="B22" s="9" t="s">
        <v>21</v>
      </c>
      <c r="C22" s="157">
        <v>1.81</v>
      </c>
      <c r="D22" s="67">
        <f>D19*I22</f>
        <v>55308.860870535726</v>
      </c>
      <c r="E22" s="67">
        <f>E19*I22</f>
        <v>52609.734732142868</v>
      </c>
      <c r="F22" s="67">
        <f>D22</f>
        <v>55308.860870535726</v>
      </c>
      <c r="G22" s="68">
        <f t="shared" si="0"/>
        <v>-2699.1261383928577</v>
      </c>
      <c r="H22" s="70">
        <f t="shared" si="1"/>
        <v>1.81</v>
      </c>
      <c r="I22" s="15">
        <f>H22/H19</f>
        <v>0.2020089285714286</v>
      </c>
    </row>
    <row r="23" spans="1:9" s="3" customFormat="1" x14ac:dyDescent="0.25">
      <c r="A23" s="8" t="s">
        <v>22</v>
      </c>
      <c r="B23" s="9" t="s">
        <v>23</v>
      </c>
      <c r="C23" s="157">
        <v>2.6</v>
      </c>
      <c r="D23" s="67">
        <f>D19*I23</f>
        <v>79449.192410714299</v>
      </c>
      <c r="E23" s="67">
        <f>E19*I23</f>
        <v>75571.994642857157</v>
      </c>
      <c r="F23" s="67">
        <f>D23</f>
        <v>79449.192410714299</v>
      </c>
      <c r="G23" s="68">
        <f t="shared" si="0"/>
        <v>-3877.197767857142</v>
      </c>
      <c r="H23" s="70">
        <f t="shared" si="1"/>
        <v>2.6</v>
      </c>
      <c r="I23" s="15">
        <f>H23/H19</f>
        <v>0.29017857142857145</v>
      </c>
    </row>
    <row r="24" spans="1:9" s="186" customFormat="1" ht="14.25" x14ac:dyDescent="0.2">
      <c r="A24" s="137" t="s">
        <v>25</v>
      </c>
      <c r="B24" s="170" t="s">
        <v>26</v>
      </c>
      <c r="C24" s="171">
        <v>0</v>
      </c>
      <c r="D24" s="166">
        <v>0</v>
      </c>
      <c r="E24" s="166">
        <v>0</v>
      </c>
      <c r="F24" s="166">
        <v>0</v>
      </c>
      <c r="G24" s="166">
        <f t="shared" si="0"/>
        <v>0</v>
      </c>
    </row>
    <row r="25" spans="1:9" s="186" customFormat="1" ht="14.25" x14ac:dyDescent="0.2">
      <c r="A25" s="137" t="s">
        <v>27</v>
      </c>
      <c r="B25" s="170" t="s">
        <v>28</v>
      </c>
      <c r="C25" s="171">
        <v>4.5999999999999996</v>
      </c>
      <c r="D25" s="166">
        <v>140563.88</v>
      </c>
      <c r="E25" s="166">
        <v>133838.79</v>
      </c>
      <c r="F25" s="166">
        <f>D25</f>
        <v>140563.88</v>
      </c>
      <c r="G25" s="166">
        <f t="shared" si="0"/>
        <v>-6725.0899999999965</v>
      </c>
    </row>
    <row r="26" spans="1:9" s="186" customFormat="1" ht="14.25" x14ac:dyDescent="0.2">
      <c r="A26" s="137" t="s">
        <v>29</v>
      </c>
      <c r="B26" s="170" t="s">
        <v>248</v>
      </c>
      <c r="C26" s="171">
        <v>0</v>
      </c>
      <c r="D26" s="166">
        <v>0</v>
      </c>
      <c r="E26" s="166">
        <v>0</v>
      </c>
      <c r="F26" s="166">
        <v>0</v>
      </c>
      <c r="G26" s="166">
        <f t="shared" si="0"/>
        <v>0</v>
      </c>
    </row>
    <row r="27" spans="1:9" s="186" customFormat="1" ht="14.25" x14ac:dyDescent="0.2">
      <c r="A27" s="137" t="s">
        <v>31</v>
      </c>
      <c r="B27" s="170" t="s">
        <v>132</v>
      </c>
      <c r="C27" s="171">
        <v>1.82</v>
      </c>
      <c r="D27" s="166">
        <v>55614.26</v>
      </c>
      <c r="E27" s="166">
        <v>53037.52</v>
      </c>
      <c r="F27" s="172">
        <f>F44</f>
        <v>11813.5252</v>
      </c>
      <c r="G27" s="166">
        <f t="shared" si="0"/>
        <v>-2576.7400000000052</v>
      </c>
    </row>
    <row r="28" spans="1:9" s="186" customFormat="1" ht="14.25" x14ac:dyDescent="0.2">
      <c r="A28" s="137" t="s">
        <v>33</v>
      </c>
      <c r="B28" s="36" t="s">
        <v>34</v>
      </c>
      <c r="C28" s="164">
        <v>0</v>
      </c>
      <c r="D28" s="166">
        <v>0</v>
      </c>
      <c r="E28" s="166">
        <v>0</v>
      </c>
      <c r="F28" s="172">
        <v>0</v>
      </c>
      <c r="G28" s="166">
        <f t="shared" si="0"/>
        <v>0</v>
      </c>
    </row>
    <row r="29" spans="1:9" s="186" customFormat="1" ht="14.25" x14ac:dyDescent="0.2">
      <c r="A29" s="137" t="s">
        <v>35</v>
      </c>
      <c r="B29" s="36" t="s">
        <v>36</v>
      </c>
      <c r="C29" s="164"/>
      <c r="D29" s="166">
        <f>SUM(D30:D33)</f>
        <v>1846342.91</v>
      </c>
      <c r="E29" s="166">
        <f>SUM(E30:E33)</f>
        <v>1801536.7799999998</v>
      </c>
      <c r="F29" s="166">
        <f>SUM(F30:F33)</f>
        <v>1838439.81</v>
      </c>
      <c r="G29" s="166">
        <f>SUM(G30:G33)</f>
        <v>-44806.130000000005</v>
      </c>
    </row>
    <row r="30" spans="1:9" x14ac:dyDescent="0.25">
      <c r="A30" s="9" t="s">
        <v>37</v>
      </c>
      <c r="B30" s="9" t="s">
        <v>263</v>
      </c>
      <c r="C30" s="152" t="s">
        <v>245</v>
      </c>
      <c r="D30" s="68">
        <v>7903.1</v>
      </c>
      <c r="E30" s="68">
        <v>7534.29</v>
      </c>
      <c r="F30" s="68">
        <v>0</v>
      </c>
      <c r="G30" s="68">
        <f>E30-D30</f>
        <v>-368.8100000000004</v>
      </c>
    </row>
    <row r="31" spans="1:9" x14ac:dyDescent="0.25">
      <c r="A31" s="9" t="s">
        <v>39</v>
      </c>
      <c r="B31" s="9" t="s">
        <v>171</v>
      </c>
      <c r="C31" s="152" t="s">
        <v>246</v>
      </c>
      <c r="D31" s="68">
        <v>342541.56</v>
      </c>
      <c r="E31" s="68">
        <v>342021.37</v>
      </c>
      <c r="F31" s="68">
        <f>D31</f>
        <v>342541.56</v>
      </c>
      <c r="G31" s="68">
        <f>E31-D31</f>
        <v>-520.19000000000233</v>
      </c>
    </row>
    <row r="32" spans="1:9" s="97" customFormat="1" x14ac:dyDescent="0.25">
      <c r="A32" s="95" t="s">
        <v>42</v>
      </c>
      <c r="B32" s="9" t="s">
        <v>40</v>
      </c>
      <c r="C32" s="213" t="s">
        <v>523</v>
      </c>
      <c r="D32" s="96">
        <v>535418.94999999995</v>
      </c>
      <c r="E32" s="96">
        <v>534581</v>
      </c>
      <c r="F32" s="96">
        <f>D32</f>
        <v>535418.94999999995</v>
      </c>
      <c r="G32" s="96">
        <f>E32-D32</f>
        <v>-837.94999999995343</v>
      </c>
    </row>
    <row r="33" spans="1:10" x14ac:dyDescent="0.25">
      <c r="A33" s="9" t="s">
        <v>41</v>
      </c>
      <c r="B33" s="9" t="s">
        <v>43</v>
      </c>
      <c r="C33" s="152" t="s">
        <v>247</v>
      </c>
      <c r="D33" s="68">
        <v>960479.3</v>
      </c>
      <c r="E33" s="68">
        <v>917400.12</v>
      </c>
      <c r="F33" s="68">
        <f>D33</f>
        <v>960479.3</v>
      </c>
      <c r="G33" s="68">
        <f>E33-D33</f>
        <v>-43079.180000000051</v>
      </c>
    </row>
    <row r="34" spans="1:10" s="20" customFormat="1" ht="6.75" customHeight="1" thickBot="1" x14ac:dyDescent="0.3">
      <c r="A34" s="21"/>
      <c r="B34" s="21"/>
      <c r="C34" s="21"/>
      <c r="D34" s="22"/>
      <c r="E34" s="22"/>
      <c r="F34" s="22"/>
      <c r="G34" s="22"/>
      <c r="H34" s="22"/>
      <c r="I34" s="22"/>
      <c r="J34" s="22"/>
    </row>
    <row r="35" spans="1:10" s="15" customFormat="1" ht="15.75" thickBot="1" x14ac:dyDescent="0.3">
      <c r="A35" s="287" t="s">
        <v>241</v>
      </c>
      <c r="B35" s="288"/>
      <c r="C35" s="288"/>
      <c r="D35" s="73">
        <f>D13+D19+D24+D25+D26+D27+D28+D29-E19-E24-E25-E26-E27-E28-E29</f>
        <v>562481.79</v>
      </c>
      <c r="E35" s="39"/>
      <c r="F35" s="39"/>
      <c r="G35" s="39"/>
      <c r="H35" s="40"/>
      <c r="I35" s="40"/>
    </row>
    <row r="36" spans="1:10" s="15" customFormat="1" ht="6" customHeight="1" thickBot="1" x14ac:dyDescent="0.3">
      <c r="A36" s="41"/>
      <c r="B36" s="41"/>
      <c r="C36" s="41"/>
      <c r="D36" s="42"/>
      <c r="E36" s="39"/>
      <c r="F36" s="39"/>
      <c r="G36" s="39"/>
      <c r="H36" s="40"/>
      <c r="I36" s="40"/>
    </row>
    <row r="37" spans="1:10" s="15" customFormat="1" ht="15.75" thickBot="1" x14ac:dyDescent="0.3">
      <c r="A37" s="87" t="s">
        <v>242</v>
      </c>
      <c r="B37" s="43"/>
      <c r="C37" s="43"/>
      <c r="D37" s="44"/>
      <c r="E37" s="45"/>
      <c r="F37" s="45"/>
      <c r="G37" s="38">
        <f>G15+E28-F28</f>
        <v>86554.33</v>
      </c>
      <c r="H37" s="40"/>
      <c r="I37" s="40"/>
    </row>
    <row r="38" spans="1:10" s="15" customFormat="1" ht="15.75" thickBot="1" x14ac:dyDescent="0.3">
      <c r="A38" s="138" t="s">
        <v>243</v>
      </c>
      <c r="B38" s="139"/>
      <c r="C38" s="139"/>
      <c r="D38" s="44"/>
      <c r="E38" s="45"/>
      <c r="F38" s="45"/>
      <c r="G38" s="38">
        <f>G16+E27-F27</f>
        <v>181035.21479999999</v>
      </c>
      <c r="H38" s="40"/>
      <c r="I38" s="40"/>
    </row>
    <row r="39" spans="1:10" s="15" customFormat="1" x14ac:dyDescent="0.25">
      <c r="A39" s="140"/>
      <c r="B39" s="41"/>
      <c r="C39" s="41"/>
      <c r="D39" s="42"/>
      <c r="E39" s="39"/>
      <c r="F39" s="39"/>
      <c r="G39" s="42"/>
      <c r="H39" s="40"/>
      <c r="I39" s="40"/>
    </row>
    <row r="40" spans="1:10" ht="9" customHeight="1" x14ac:dyDescent="0.25">
      <c r="B40" s="13"/>
      <c r="C40" s="13"/>
      <c r="D40" s="13"/>
      <c r="E40" s="13"/>
    </row>
    <row r="41" spans="1:10" ht="21" customHeight="1" x14ac:dyDescent="0.25">
      <c r="A41" s="289" t="s">
        <v>44</v>
      </c>
      <c r="B41" s="289"/>
      <c r="C41" s="289"/>
      <c r="D41" s="289"/>
      <c r="E41" s="289"/>
      <c r="F41" s="289"/>
      <c r="G41" s="289"/>
      <c r="H41" s="289"/>
      <c r="I41" s="289"/>
    </row>
    <row r="42" spans="1:10" ht="5.25" customHeight="1" x14ac:dyDescent="0.25"/>
    <row r="43" spans="1:10" s="7" customFormat="1" ht="28.5" customHeight="1" x14ac:dyDescent="0.25">
      <c r="A43" s="5" t="s">
        <v>11</v>
      </c>
      <c r="B43" s="306" t="s">
        <v>45</v>
      </c>
      <c r="C43" s="307"/>
      <c r="D43" s="5" t="s">
        <v>254</v>
      </c>
      <c r="E43" s="5" t="s">
        <v>253</v>
      </c>
      <c r="F43" s="306" t="s">
        <v>46</v>
      </c>
      <c r="G43" s="312"/>
    </row>
    <row r="44" spans="1:10" s="12" customFormat="1" ht="15" customHeight="1" x14ac:dyDescent="0.25">
      <c r="A44" s="11" t="s">
        <v>47</v>
      </c>
      <c r="B44" s="308" t="s">
        <v>127</v>
      </c>
      <c r="C44" s="309"/>
      <c r="D44" s="194"/>
      <c r="E44" s="194"/>
      <c r="F44" s="316">
        <f>SUM(F45:G46)</f>
        <v>11813.5252</v>
      </c>
      <c r="G44" s="312"/>
    </row>
    <row r="45" spans="1:10" ht="15.75" customHeight="1" x14ac:dyDescent="0.25">
      <c r="A45" s="9" t="s">
        <v>16</v>
      </c>
      <c r="B45" s="294" t="s">
        <v>285</v>
      </c>
      <c r="C45" s="295"/>
      <c r="D45" s="193" t="s">
        <v>255</v>
      </c>
      <c r="E45" s="193">
        <v>8</v>
      </c>
      <c r="F45" s="315">
        <v>11283.15</v>
      </c>
      <c r="G45" s="315"/>
    </row>
    <row r="46" spans="1:10" s="48" customFormat="1" ht="15.75" customHeight="1" x14ac:dyDescent="0.25">
      <c r="A46" s="9" t="s">
        <v>18</v>
      </c>
      <c r="B46" s="327" t="s">
        <v>533</v>
      </c>
      <c r="C46" s="328"/>
      <c r="D46" s="212"/>
      <c r="E46" s="212"/>
      <c r="F46" s="317">
        <f>E27*1%</f>
        <v>530.37519999999995</v>
      </c>
      <c r="G46" s="317"/>
    </row>
    <row r="47" spans="1:10" s="3" customFormat="1" x14ac:dyDescent="0.25"/>
    <row r="48" spans="1:10" s="3" customFormat="1" x14ac:dyDescent="0.25">
      <c r="A48" s="3" t="s">
        <v>55</v>
      </c>
      <c r="C48" s="3" t="s">
        <v>49</v>
      </c>
      <c r="F48" s="3" t="s">
        <v>102</v>
      </c>
    </row>
    <row r="49" spans="1:7" s="3" customFormat="1" ht="13.5" customHeight="1" x14ac:dyDescent="0.25">
      <c r="F49" s="4" t="s">
        <v>265</v>
      </c>
    </row>
    <row r="50" spans="1:7" s="3" customFormat="1" x14ac:dyDescent="0.25">
      <c r="A50" s="3" t="s">
        <v>50</v>
      </c>
    </row>
    <row r="51" spans="1:7" s="3" customFormat="1" x14ac:dyDescent="0.25">
      <c r="C51" s="14" t="s">
        <v>51</v>
      </c>
      <c r="E51" s="14"/>
      <c r="F51" s="14"/>
      <c r="G51" s="14"/>
    </row>
    <row r="52" spans="1:7" s="3" customFormat="1" x14ac:dyDescent="0.25"/>
    <row r="53" spans="1:7" s="3" customFormat="1" x14ac:dyDescent="0.25"/>
  </sheetData>
  <mergeCells count="18">
    <mergeCell ref="A1:I1"/>
    <mergeCell ref="A2:I2"/>
    <mergeCell ref="A5:I5"/>
    <mergeCell ref="A10:I10"/>
    <mergeCell ref="A3:K3"/>
    <mergeCell ref="A11:I11"/>
    <mergeCell ref="A41:I41"/>
    <mergeCell ref="A13:C13"/>
    <mergeCell ref="A12:I12"/>
    <mergeCell ref="A35:C35"/>
    <mergeCell ref="F43:G43"/>
    <mergeCell ref="F46:G46"/>
    <mergeCell ref="F44:G44"/>
    <mergeCell ref="F45:G45"/>
    <mergeCell ref="B43:C43"/>
    <mergeCell ref="B44:C44"/>
    <mergeCell ref="B45:C45"/>
    <mergeCell ref="B46:C46"/>
  </mergeCells>
  <phoneticPr fontId="18" type="noConversion"/>
  <pageMargins left="0" right="0" top="0" bottom="0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75</vt:i4>
      </vt:variant>
      <vt:variant>
        <vt:lpstr>Именованные диапазоны</vt:lpstr>
      </vt:variant>
      <vt:variant>
        <vt:i4>6</vt:i4>
      </vt:variant>
    </vt:vector>
  </HeadingPairs>
  <TitlesOfParts>
    <vt:vector size="81" baseType="lpstr">
      <vt:lpstr>Телевизионная 2а</vt:lpstr>
      <vt:lpstr>Пионерская 16</vt:lpstr>
      <vt:lpstr>Пионерская 1318</vt:lpstr>
      <vt:lpstr>Багговута 12</vt:lpstr>
      <vt:lpstr>Пионерская 15</vt:lpstr>
      <vt:lpstr>Социалистическая 3</vt:lpstr>
      <vt:lpstr>Социалистическая 4</vt:lpstr>
      <vt:lpstr>Социалистическая 6 к.1</vt:lpstr>
      <vt:lpstr>Социалистическая 6</vt:lpstr>
      <vt:lpstr>Социалистическая 9</vt:lpstr>
      <vt:lpstr>Социалистическая 12</vt:lpstr>
      <vt:lpstr>Телевизионная 2</vt:lpstr>
      <vt:lpstr>Телевизионная 4</vt:lpstr>
      <vt:lpstr>Чичерина 7а</vt:lpstr>
      <vt:lpstr>Чичерина 8</vt:lpstr>
      <vt:lpstr>Чичерина 16 к. 1</vt:lpstr>
      <vt:lpstr>пер.Чичерина 24</vt:lpstr>
      <vt:lpstr>пер. Чичерина 28</vt:lpstr>
      <vt:lpstr>Калинина 12</vt:lpstr>
      <vt:lpstr>Калинина 18</vt:lpstr>
      <vt:lpstr>Калинина 23</vt:lpstr>
      <vt:lpstr>Пионерская 9</vt:lpstr>
      <vt:lpstr>Высокая 4</vt:lpstr>
      <vt:lpstr>Пухова 15</vt:lpstr>
      <vt:lpstr>Пухова 17</vt:lpstr>
      <vt:lpstr>Калинина 4</vt:lpstr>
      <vt:lpstr>Пионерская 18</vt:lpstr>
      <vt:lpstr>Чичерина 12 к.1</vt:lpstr>
      <vt:lpstr>Телевизионная 6 к.1</vt:lpstr>
      <vt:lpstr>Пионерская 2</vt:lpstr>
      <vt:lpstr>Телевизионная 2 к.1</vt:lpstr>
      <vt:lpstr>Чичерина 16</vt:lpstr>
      <vt:lpstr>Чичерина 22</vt:lpstr>
      <vt:lpstr>Лист1</vt:lpstr>
      <vt:lpstr>Лист2</vt:lpstr>
      <vt:lpstr>Ленина 68,8</vt:lpstr>
      <vt:lpstr>Ленина 67</vt:lpstr>
      <vt:lpstr>Огарева 20</vt:lpstr>
      <vt:lpstr>Пролетарская 40</vt:lpstr>
      <vt:lpstr>Чижевского 4</vt:lpstr>
      <vt:lpstr>Билибина 10</vt:lpstr>
      <vt:lpstr>Ленина 61.5</vt:lpstr>
      <vt:lpstr>Билибина 26</vt:lpstr>
      <vt:lpstr>Билибина 28</vt:lpstr>
      <vt:lpstr>Общее</vt:lpstr>
      <vt:lpstr>Пролетарская 135</vt:lpstr>
      <vt:lpstr>Молодежная 41</vt:lpstr>
      <vt:lpstr>Солнечный б-р 2 общий</vt:lpstr>
      <vt:lpstr>Солнечный б-р 4</vt:lpstr>
      <vt:lpstr>Солнечный б-р 4-1</vt:lpstr>
      <vt:lpstr>Солнечный б-р 4-2</vt:lpstr>
      <vt:lpstr>Аллейная 2</vt:lpstr>
      <vt:lpstr>Телевизионная 10</vt:lpstr>
      <vt:lpstr>Дубрава 1</vt:lpstr>
      <vt:lpstr>Дубрава 1а</vt:lpstr>
      <vt:lpstr>Дубрава 2</vt:lpstr>
      <vt:lpstr>Дубрава 3</vt:lpstr>
      <vt:lpstr>Дубрава 4</vt:lpstr>
      <vt:lpstr>Дубрава 5</vt:lpstr>
      <vt:lpstr>Дубрава 6</vt:lpstr>
      <vt:lpstr>Дубрава 9</vt:lpstr>
      <vt:lpstr>Дубрава10</vt:lpstr>
      <vt:lpstr>Дубрава 11</vt:lpstr>
      <vt:lpstr>Нефтебаза 3</vt:lpstr>
      <vt:lpstr>Нефтебаза 5</vt:lpstr>
      <vt:lpstr>Нефтебаза 6</vt:lpstr>
      <vt:lpstr>Аэропортовская 14</vt:lpstr>
      <vt:lpstr>Дорожная 11 корп1</vt:lpstr>
      <vt:lpstr>Дорожная 11 корп2</vt:lpstr>
      <vt:lpstr>Моторная 30</vt:lpstr>
      <vt:lpstr>Грабцевское шоссе 160</vt:lpstr>
      <vt:lpstr>Аэропортовская 9</vt:lpstr>
      <vt:lpstr>Хрустальная 74</vt:lpstr>
      <vt:lpstr>Молодежная 46</vt:lpstr>
      <vt:lpstr>Грабцевское шоссе 132 корп.1</vt:lpstr>
      <vt:lpstr>'Багговута 12'!Область_печати</vt:lpstr>
      <vt:lpstr>'Молодежная 41'!Область_печати</vt:lpstr>
      <vt:lpstr>'пер.Чичерина 24'!Область_печати</vt:lpstr>
      <vt:lpstr>'Пионерская 1318'!Область_печати</vt:lpstr>
      <vt:lpstr>'Пионерская 16'!Область_печати</vt:lpstr>
      <vt:lpstr>'Телевизионная 2а'!Область_печати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2019-04-01T12:07:21Z</dcterms:modified>
</cp:coreProperties>
</file>